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Users/laurafrancabandera/Desktop/"/>
    </mc:Choice>
  </mc:AlternateContent>
  <xr:revisionPtr revIDLastSave="294" documentId="13_ncr:1_{1324AE15-971E-E349-9BB8-DEAE5AEE83D1}" xr6:coauthVersionLast="47" xr6:coauthVersionMax="47" xr10:uidLastSave="{0A876534-2894-4B49-9C1D-D8DB14A2FEED}"/>
  <bookViews>
    <workbookView xWindow="9260" yWindow="760" windowWidth="25300" windowHeight="20140" tabRatio="785" firstSheet="2" activeTab="2" xr2:uid="{00000000-000D-0000-FFFF-FFFF00000000}"/>
  </bookViews>
  <sheets>
    <sheet name="Introduction" sheetId="17" r:id="rId1"/>
    <sheet name="Instructions" sheetId="7" r:id="rId2"/>
    <sheet name="HECVAT - Full | Vendor Response" sheetId="1" r:id="rId3"/>
    <sheet name="Analyst Report" sheetId="14" r:id="rId4"/>
    <sheet name="Analyst Reference" sheetId="18" r:id="rId5"/>
    <sheet name="Summary Report" sheetId="15" r:id="rId6"/>
    <sheet name="Crosswalk Detail" sheetId="12" state="hidden" r:id="rId7"/>
    <sheet name="Questions" sheetId="20" state="hidden" r:id="rId8"/>
    <sheet name="Values" sheetId="2" state="hidden" r:id="rId9"/>
    <sheet name="High Risk Non-Compliant" sheetId="16" state="hidden" r:id="rId10"/>
    <sheet name="Standards Crosswalk" sheetId="10" r:id="rId11"/>
    <sheet name="Acknowledgments" sheetId="19" r:id="rId12"/>
    <sheet name="ChangeLog" sheetId="3" r:id="rId13"/>
  </sheets>
  <definedNames>
    <definedName name="_ftn1" localSheetId="1">Instructions!$A$34</definedName>
    <definedName name="_ftnref1" localSheetId="1">Instructions!$A$5</definedName>
    <definedName name="dr" localSheetId="11">#REF!</definedName>
    <definedName name="dr">Values!$A$4:$A$6</definedName>
    <definedName name="drpt" localSheetId="11">#REF!</definedName>
    <definedName name="drpt">Values!$A$9:$A$12</definedName>
    <definedName name="network" localSheetId="11">V+Values!$A$15:$A$19</definedName>
    <definedName name="network">V+Values!$A$15:$A$19</definedName>
    <definedName name="sharedassessments" localSheetId="11">#REF!</definedName>
    <definedName name="sharedassessments">Values!$A$26:$A$27</definedName>
    <definedName name="sharedassessmentslisting" localSheetId="11">#REF!</definedName>
    <definedName name="sharedassessmentslisting">Values!$A$30:$A$31</definedName>
    <definedName name="uptime" localSheetId="11">Values!$A$34:$A$38</definedName>
    <definedName name="uptime">Values!$A$34:$A$38</definedName>
    <definedName name="yes" localSheetId="11">Values!$A$4:$A$5</definedName>
    <definedName name="yes">Values!$A$4:$A$5</definedName>
    <definedName name="yesna" localSheetId="11">#REF!</definedName>
    <definedName name="yesna">Values!$A$4:$A$6</definedName>
  </definedNames>
  <calcPr calcId="191028"/>
  <pivotCaches>
    <pivotCache cacheId="627"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1" i="1" l="1"/>
  <c r="C244" i="14"/>
  <c r="D23" i="20"/>
  <c r="A68" i="1" s="1"/>
  <c r="A62" i="1"/>
  <c r="A113" i="1"/>
  <c r="D75" i="20" s="1"/>
  <c r="B112" i="1"/>
  <c r="B116" i="14" s="1"/>
  <c r="A272" i="1"/>
  <c r="A276" i="14" s="1"/>
  <c r="N23" i="20"/>
  <c r="N21" i="20"/>
  <c r="N19" i="20"/>
  <c r="K5" i="2" s="1"/>
  <c r="J5" i="2" s="1"/>
  <c r="N20" i="20"/>
  <c r="K106" i="20" s="1"/>
  <c r="N22" i="20"/>
  <c r="K251" i="20" s="1"/>
  <c r="N25" i="20"/>
  <c r="D160" i="14"/>
  <c r="C160" i="14"/>
  <c r="D158" i="14"/>
  <c r="C158" i="14"/>
  <c r="D151" i="14"/>
  <c r="C151" i="14"/>
  <c r="C116" i="14"/>
  <c r="C115" i="14"/>
  <c r="A218" i="18"/>
  <c r="C218" i="18" s="1"/>
  <c r="A219" i="18"/>
  <c r="E95" i="1"/>
  <c r="B273" i="1"/>
  <c r="A131" i="18"/>
  <c r="A130" i="18"/>
  <c r="C130" i="18" s="1"/>
  <c r="A129" i="18"/>
  <c r="C129" i="18" s="1"/>
  <c r="D135" i="14"/>
  <c r="C135" i="14"/>
  <c r="D134" i="14"/>
  <c r="C134" i="14"/>
  <c r="D133" i="14"/>
  <c r="C133" i="14"/>
  <c r="D130" i="14"/>
  <c r="B9" i="14"/>
  <c r="B8" i="14"/>
  <c r="B7" i="14"/>
  <c r="D179" i="14"/>
  <c r="A202" i="14"/>
  <c r="F202" i="14"/>
  <c r="D202" i="14"/>
  <c r="C202" i="14"/>
  <c r="D176" i="14"/>
  <c r="C176" i="14"/>
  <c r="H202" i="14"/>
  <c r="D234" i="14"/>
  <c r="C234" i="14"/>
  <c r="F185" i="14"/>
  <c r="F184" i="14"/>
  <c r="F183" i="14"/>
  <c r="D89" i="14"/>
  <c r="D65" i="14"/>
  <c r="D64" i="14"/>
  <c r="D63" i="14"/>
  <c r="D62" i="14"/>
  <c r="D61" i="14"/>
  <c r="D60" i="14"/>
  <c r="D59" i="14"/>
  <c r="D58" i="14"/>
  <c r="C57" i="14"/>
  <c r="C58" i="14"/>
  <c r="C59" i="14"/>
  <c r="C60" i="14"/>
  <c r="C61" i="14"/>
  <c r="C62" i="14"/>
  <c r="C63" i="14"/>
  <c r="C64" i="14"/>
  <c r="C65" i="14"/>
  <c r="E230" i="1"/>
  <c r="E234" i="1"/>
  <c r="E233" i="1"/>
  <c r="E232" i="1"/>
  <c r="E231" i="1"/>
  <c r="E228" i="1"/>
  <c r="E227" i="1"/>
  <c r="E226" i="1"/>
  <c r="E225" i="1"/>
  <c r="E223" i="1"/>
  <c r="E222" i="1"/>
  <c r="E221" i="1"/>
  <c r="E220" i="1"/>
  <c r="E219" i="1"/>
  <c r="E218" i="1"/>
  <c r="E217" i="1"/>
  <c r="E216" i="1"/>
  <c r="E215" i="1"/>
  <c r="E214" i="1"/>
  <c r="E213" i="1"/>
  <c r="E212" i="1"/>
  <c r="E211" i="1"/>
  <c r="E210" i="1"/>
  <c r="E209" i="1"/>
  <c r="E208" i="1"/>
  <c r="E206" i="1"/>
  <c r="E205" i="1"/>
  <c r="E204" i="1"/>
  <c r="E203" i="1"/>
  <c r="E202" i="1"/>
  <c r="E201" i="1"/>
  <c r="E200" i="1"/>
  <c r="E199" i="1"/>
  <c r="E198" i="1"/>
  <c r="E197" i="1"/>
  <c r="E196" i="1"/>
  <c r="E194" i="1"/>
  <c r="E193" i="1"/>
  <c r="E192" i="1"/>
  <c r="E191" i="1"/>
  <c r="E190" i="1"/>
  <c r="E189" i="1"/>
  <c r="E188" i="1"/>
  <c r="E187" i="1"/>
  <c r="E186" i="1"/>
  <c r="E185" i="1"/>
  <c r="E184" i="1"/>
  <c r="E182" i="1"/>
  <c r="E181" i="1"/>
  <c r="E180" i="1"/>
  <c r="E179" i="1"/>
  <c r="E178" i="1"/>
  <c r="E177" i="1"/>
  <c r="E176" i="1"/>
  <c r="E175" i="1"/>
  <c r="E174" i="1"/>
  <c r="E173" i="1"/>
  <c r="E172" i="1"/>
  <c r="E171" i="1"/>
  <c r="E170" i="1"/>
  <c r="E169" i="1"/>
  <c r="E168" i="1"/>
  <c r="E167" i="1"/>
  <c r="E166" i="1"/>
  <c r="E164" i="1"/>
  <c r="E163" i="1"/>
  <c r="E162" i="1"/>
  <c r="E161" i="1"/>
  <c r="E160" i="1"/>
  <c r="E159" i="1"/>
  <c r="E158" i="1"/>
  <c r="E157" i="1"/>
  <c r="E156" i="1"/>
  <c r="E155" i="1"/>
  <c r="E154" i="1"/>
  <c r="E153" i="1"/>
  <c r="E152" i="1"/>
  <c r="E151" i="1"/>
  <c r="E150" i="1"/>
  <c r="E149" i="1"/>
  <c r="E148" i="1"/>
  <c r="E147" i="1"/>
  <c r="E146" i="1"/>
  <c r="E145" i="1"/>
  <c r="E144" i="1"/>
  <c r="E143" i="1"/>
  <c r="E142" i="1"/>
  <c r="E141" i="1"/>
  <c r="E139" i="1"/>
  <c r="E138" i="1"/>
  <c r="E137" i="1"/>
  <c r="E136" i="1"/>
  <c r="E135" i="1"/>
  <c r="E134" i="1"/>
  <c r="E133" i="1"/>
  <c r="E132" i="1"/>
  <c r="E131" i="1"/>
  <c r="E130" i="1"/>
  <c r="E129" i="1"/>
  <c r="E128" i="1"/>
  <c r="E127" i="1"/>
  <c r="E126" i="1"/>
  <c r="E125" i="1"/>
  <c r="E123" i="1"/>
  <c r="E122" i="1"/>
  <c r="E121" i="1"/>
  <c r="E120" i="1"/>
  <c r="E119" i="1"/>
  <c r="E118" i="1"/>
  <c r="E117" i="1"/>
  <c r="E116" i="1"/>
  <c r="E115" i="1"/>
  <c r="E114" i="1"/>
  <c r="E64" i="1"/>
  <c r="E65" i="1"/>
  <c r="E66" i="1"/>
  <c r="E67" i="1"/>
  <c r="E63" i="1"/>
  <c r="E54" i="1"/>
  <c r="E55" i="1"/>
  <c r="E56" i="1"/>
  <c r="E57" i="1"/>
  <c r="E58" i="1"/>
  <c r="E59" i="1"/>
  <c r="E60" i="1"/>
  <c r="E61" i="1"/>
  <c r="E53" i="1"/>
  <c r="E42" i="1"/>
  <c r="E43" i="1"/>
  <c r="E44" i="1"/>
  <c r="E45" i="1"/>
  <c r="E46" i="1"/>
  <c r="E47" i="1"/>
  <c r="E48" i="1"/>
  <c r="E49" i="1"/>
  <c r="E50" i="1"/>
  <c r="E51" i="1"/>
  <c r="E41" i="1"/>
  <c r="E37" i="1"/>
  <c r="E38" i="1"/>
  <c r="E39" i="1"/>
  <c r="E36" i="1"/>
  <c r="E35" i="1"/>
  <c r="E28" i="1"/>
  <c r="E29" i="1"/>
  <c r="E30" i="1"/>
  <c r="E31" i="1"/>
  <c r="E32" i="1"/>
  <c r="E33" i="1"/>
  <c r="E27" i="1"/>
  <c r="J88" i="10"/>
  <c r="I88" i="10"/>
  <c r="H88" i="10"/>
  <c r="G88" i="10"/>
  <c r="F88" i="10"/>
  <c r="E88" i="10"/>
  <c r="D88" i="10"/>
  <c r="C88" i="10"/>
  <c r="J87" i="10"/>
  <c r="I87" i="10"/>
  <c r="H87" i="10"/>
  <c r="G87" i="10"/>
  <c r="F87" i="10"/>
  <c r="E87" i="10"/>
  <c r="D87" i="10"/>
  <c r="C87" i="10"/>
  <c r="J86" i="10"/>
  <c r="I86" i="10"/>
  <c r="H86" i="10"/>
  <c r="G86" i="10"/>
  <c r="F86" i="10"/>
  <c r="E86" i="10"/>
  <c r="D86" i="10"/>
  <c r="C86" i="10"/>
  <c r="A115" i="14"/>
  <c r="H115" i="14" s="1"/>
  <c r="A116" i="14"/>
  <c r="H116" i="14" s="1"/>
  <c r="D113" i="14"/>
  <c r="C113" i="14"/>
  <c r="A113" i="14"/>
  <c r="F113" i="14" s="1"/>
  <c r="D112" i="14"/>
  <c r="C112" i="14"/>
  <c r="A112" i="14"/>
  <c r="F112" i="14" s="1"/>
  <c r="D96" i="14"/>
  <c r="C96" i="14"/>
  <c r="A96" i="14"/>
  <c r="B92" i="1"/>
  <c r="B96" i="14" s="1"/>
  <c r="D95" i="14"/>
  <c r="C95" i="14"/>
  <c r="D94" i="14"/>
  <c r="C94" i="14"/>
  <c r="D93" i="14"/>
  <c r="C93" i="14"/>
  <c r="D92" i="14"/>
  <c r="C92" i="14"/>
  <c r="D91" i="14"/>
  <c r="C91" i="14"/>
  <c r="A95" i="14"/>
  <c r="F95" i="14" s="1"/>
  <c r="A94" i="14"/>
  <c r="F94" i="14" s="1"/>
  <c r="A93" i="14"/>
  <c r="I224" i="10"/>
  <c r="H224" i="10"/>
  <c r="G224" i="10"/>
  <c r="F224" i="10"/>
  <c r="E224" i="10"/>
  <c r="D224" i="10"/>
  <c r="C224" i="10"/>
  <c r="I223" i="10"/>
  <c r="H223" i="10"/>
  <c r="G223" i="10"/>
  <c r="F223" i="10"/>
  <c r="E223" i="10"/>
  <c r="D223" i="10"/>
  <c r="C223" i="10"/>
  <c r="H96" i="14"/>
  <c r="F96" i="14"/>
  <c r="H113" i="14"/>
  <c r="H94" i="14"/>
  <c r="H95" i="14"/>
  <c r="B35" i="1"/>
  <c r="B39" i="14" s="1"/>
  <c r="B36" i="1"/>
  <c r="B40" i="14" s="1"/>
  <c r="B37" i="1"/>
  <c r="B35" i="10" s="1"/>
  <c r="B38" i="1"/>
  <c r="B42" i="14" s="1"/>
  <c r="B39" i="1"/>
  <c r="B37" i="10" s="1"/>
  <c r="D219" i="18"/>
  <c r="C219" i="18"/>
  <c r="B219" i="18"/>
  <c r="D218" i="18"/>
  <c r="B218" i="18"/>
  <c r="A104" i="18"/>
  <c r="D210" i="14"/>
  <c r="C210" i="14"/>
  <c r="D209" i="14"/>
  <c r="C209" i="14"/>
  <c r="J109" i="10"/>
  <c r="I109" i="10"/>
  <c r="H109" i="10"/>
  <c r="G109" i="10"/>
  <c r="F109" i="10"/>
  <c r="E109" i="10"/>
  <c r="D109" i="10"/>
  <c r="C109" i="10"/>
  <c r="J108" i="10"/>
  <c r="I108" i="10"/>
  <c r="H108" i="10"/>
  <c r="G108" i="10"/>
  <c r="F108" i="10"/>
  <c r="E108" i="10"/>
  <c r="D108" i="10"/>
  <c r="C108" i="10"/>
  <c r="I107" i="10"/>
  <c r="H107" i="10"/>
  <c r="G107" i="10"/>
  <c r="F107" i="10"/>
  <c r="E107" i="10"/>
  <c r="D107" i="10"/>
  <c r="C107" i="10"/>
  <c r="D231" i="14"/>
  <c r="D230" i="14"/>
  <c r="C231" i="14"/>
  <c r="C230" i="14"/>
  <c r="A231" i="14"/>
  <c r="H231" i="14" s="1"/>
  <c r="A230" i="14"/>
  <c r="E112" i="1"/>
  <c r="E111" i="1"/>
  <c r="E110" i="1"/>
  <c r="E109" i="1"/>
  <c r="E108" i="1"/>
  <c r="B109" i="1"/>
  <c r="B113" i="14" s="1"/>
  <c r="B108" i="1"/>
  <c r="B112" i="14" s="1"/>
  <c r="E94" i="1"/>
  <c r="E91" i="1"/>
  <c r="E90" i="1"/>
  <c r="E89" i="1"/>
  <c r="B91" i="1"/>
  <c r="B95" i="14" s="1"/>
  <c r="B90" i="1"/>
  <c r="B89" i="1"/>
  <c r="B93" i="14" s="1"/>
  <c r="B227" i="1"/>
  <c r="B231" i="14" s="1"/>
  <c r="B226" i="1"/>
  <c r="B230" i="14" s="1"/>
  <c r="H230" i="14"/>
  <c r="F230" i="14"/>
  <c r="J269" i="10"/>
  <c r="I269" i="10"/>
  <c r="H269" i="10"/>
  <c r="G269" i="10"/>
  <c r="F269" i="10"/>
  <c r="E269" i="10"/>
  <c r="D269" i="10"/>
  <c r="C269" i="10"/>
  <c r="J239" i="10"/>
  <c r="I239" i="10"/>
  <c r="H239" i="10"/>
  <c r="G239" i="10"/>
  <c r="F239" i="10"/>
  <c r="E239" i="10"/>
  <c r="D239" i="10"/>
  <c r="C239" i="10"/>
  <c r="J232" i="10"/>
  <c r="I232" i="10"/>
  <c r="H232" i="10"/>
  <c r="G232" i="10"/>
  <c r="F232" i="10"/>
  <c r="E232" i="10"/>
  <c r="D232" i="10"/>
  <c r="C232" i="10"/>
  <c r="J226" i="10"/>
  <c r="I226" i="10"/>
  <c r="H226" i="10"/>
  <c r="G226" i="10"/>
  <c r="F226" i="10"/>
  <c r="E226" i="10"/>
  <c r="D226" i="10"/>
  <c r="C226" i="10"/>
  <c r="J221" i="10"/>
  <c r="I221" i="10"/>
  <c r="H221" i="10"/>
  <c r="G221" i="10"/>
  <c r="F221" i="10"/>
  <c r="E221" i="10"/>
  <c r="D221" i="10"/>
  <c r="C221" i="10"/>
  <c r="J204" i="10"/>
  <c r="I204" i="10"/>
  <c r="H204" i="10"/>
  <c r="G204" i="10"/>
  <c r="F204" i="10"/>
  <c r="E204" i="10"/>
  <c r="D204" i="10"/>
  <c r="C204" i="10"/>
  <c r="J192" i="10"/>
  <c r="I192" i="10"/>
  <c r="H192" i="10"/>
  <c r="G192" i="10"/>
  <c r="F192" i="10"/>
  <c r="E192" i="10"/>
  <c r="D192" i="10"/>
  <c r="C192" i="10"/>
  <c r="J180" i="10"/>
  <c r="I180" i="10"/>
  <c r="H180" i="10"/>
  <c r="G180" i="10"/>
  <c r="F180" i="10"/>
  <c r="E180" i="10"/>
  <c r="D180" i="10"/>
  <c r="C180" i="10"/>
  <c r="J162" i="10"/>
  <c r="I162" i="10"/>
  <c r="H162" i="10"/>
  <c r="G162" i="10"/>
  <c r="F162" i="10"/>
  <c r="E162" i="10"/>
  <c r="D162" i="10"/>
  <c r="C162" i="10"/>
  <c r="J137" i="10"/>
  <c r="I137" i="10"/>
  <c r="H137" i="10"/>
  <c r="G137" i="10"/>
  <c r="F137" i="10"/>
  <c r="E137" i="10"/>
  <c r="D137" i="10"/>
  <c r="C137" i="10"/>
  <c r="J121" i="10"/>
  <c r="I121" i="10"/>
  <c r="H121" i="10"/>
  <c r="G121" i="10"/>
  <c r="F121" i="10"/>
  <c r="E121" i="10"/>
  <c r="D121" i="10"/>
  <c r="C121" i="10"/>
  <c r="J110" i="10"/>
  <c r="I110" i="10"/>
  <c r="H110" i="10"/>
  <c r="G110" i="10"/>
  <c r="F110" i="10"/>
  <c r="E110" i="10"/>
  <c r="D110" i="10"/>
  <c r="C110" i="10"/>
  <c r="I225" i="10"/>
  <c r="H225" i="10"/>
  <c r="G225" i="10"/>
  <c r="F225" i="10"/>
  <c r="E225" i="10"/>
  <c r="D225" i="10"/>
  <c r="C225" i="10"/>
  <c r="I222" i="10"/>
  <c r="H222" i="10"/>
  <c r="G222" i="10"/>
  <c r="F222" i="10"/>
  <c r="E222" i="10"/>
  <c r="D222" i="10"/>
  <c r="C222" i="10"/>
  <c r="J18" i="2"/>
  <c r="J17" i="2"/>
  <c r="J16" i="2"/>
  <c r="J15" i="2"/>
  <c r="J14" i="2"/>
  <c r="J12" i="2"/>
  <c r="J11" i="2"/>
  <c r="J10" i="2"/>
  <c r="J8" i="2"/>
  <c r="J7" i="2"/>
  <c r="J4" i="2"/>
  <c r="J3" i="2"/>
  <c r="J2" i="2"/>
  <c r="C21" i="14"/>
  <c r="D70" i="14"/>
  <c r="C70" i="14"/>
  <c r="A70" i="14"/>
  <c r="F70" i="14"/>
  <c r="D55" i="14"/>
  <c r="C55" i="14"/>
  <c r="A55" i="14"/>
  <c r="F55" i="14" s="1"/>
  <c r="D54" i="14"/>
  <c r="C54" i="14"/>
  <c r="A54" i="14"/>
  <c r="D53" i="14"/>
  <c r="C53" i="14"/>
  <c r="A53" i="14"/>
  <c r="D52" i="14"/>
  <c r="C52" i="14"/>
  <c r="A52" i="14"/>
  <c r="F52" i="14" s="1"/>
  <c r="D51" i="14"/>
  <c r="C51" i="14"/>
  <c r="A51" i="14"/>
  <c r="F51" i="14" s="1"/>
  <c r="D50" i="14"/>
  <c r="C50" i="14"/>
  <c r="A50" i="14"/>
  <c r="F50" i="14" s="1"/>
  <c r="D49" i="14"/>
  <c r="C49" i="14"/>
  <c r="A49" i="14"/>
  <c r="D48" i="14"/>
  <c r="C48" i="14"/>
  <c r="A48" i="14"/>
  <c r="F48" i="14" s="1"/>
  <c r="D47" i="14"/>
  <c r="C47" i="14"/>
  <c r="A47" i="14"/>
  <c r="H47" i="14" s="1"/>
  <c r="D46" i="14"/>
  <c r="C46" i="14"/>
  <c r="A46" i="14"/>
  <c r="H46" i="14" s="1"/>
  <c r="D45" i="14"/>
  <c r="C45" i="14"/>
  <c r="A45" i="14"/>
  <c r="F45" i="14" s="1"/>
  <c r="A65" i="14"/>
  <c r="A64" i="14"/>
  <c r="A63" i="14"/>
  <c r="F63" i="14" s="1"/>
  <c r="A62" i="14"/>
  <c r="A61" i="14"/>
  <c r="A60" i="14"/>
  <c r="F60" i="14" s="1"/>
  <c r="A59" i="14"/>
  <c r="A58" i="14"/>
  <c r="H58" i="14" s="1"/>
  <c r="A57" i="14"/>
  <c r="H57" i="14" s="1"/>
  <c r="D57" i="14"/>
  <c r="A56" i="14"/>
  <c r="C32" i="14"/>
  <c r="C31" i="14"/>
  <c r="C30" i="14"/>
  <c r="C29" i="14"/>
  <c r="C28" i="14"/>
  <c r="C27" i="14"/>
  <c r="C26" i="14"/>
  <c r="C25" i="14"/>
  <c r="C24" i="14"/>
  <c r="C23" i="14"/>
  <c r="C22" i="14"/>
  <c r="C20" i="14"/>
  <c r="C19" i="14"/>
  <c r="C18" i="14"/>
  <c r="C17" i="14"/>
  <c r="C16" i="14"/>
  <c r="C15" i="14"/>
  <c r="C14" i="14"/>
  <c r="J90" i="10"/>
  <c r="I90" i="10"/>
  <c r="H90" i="10"/>
  <c r="G90" i="10"/>
  <c r="F90" i="10"/>
  <c r="E90" i="10"/>
  <c r="D90" i="10"/>
  <c r="C90" i="10"/>
  <c r="J75" i="10"/>
  <c r="I75" i="10"/>
  <c r="H75" i="10"/>
  <c r="G75" i="10"/>
  <c r="F75" i="10"/>
  <c r="E75" i="10"/>
  <c r="D75" i="10"/>
  <c r="C75" i="10"/>
  <c r="J65"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1" i="10"/>
  <c r="H61" i="10"/>
  <c r="G61" i="10"/>
  <c r="F61" i="10"/>
  <c r="E61" i="10"/>
  <c r="D61" i="10"/>
  <c r="C61"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5" i="10"/>
  <c r="H55" i="10"/>
  <c r="G55" i="10"/>
  <c r="F55" i="10"/>
  <c r="E55" i="10"/>
  <c r="D55" i="10"/>
  <c r="C55"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J50" i="10"/>
  <c r="I50" i="10"/>
  <c r="H50" i="10"/>
  <c r="G50" i="10"/>
  <c r="F50" i="10"/>
  <c r="E50" i="10"/>
  <c r="D50" i="10"/>
  <c r="C50" i="10"/>
  <c r="J60" i="10"/>
  <c r="I60" i="10"/>
  <c r="H60" i="10"/>
  <c r="G60" i="10"/>
  <c r="F60" i="10"/>
  <c r="E60" i="10"/>
  <c r="D60" i="10"/>
  <c r="C60" i="10"/>
  <c r="J38" i="10"/>
  <c r="I38" i="10"/>
  <c r="H38" i="10"/>
  <c r="G38" i="10"/>
  <c r="F38" i="10"/>
  <c r="E38" i="10"/>
  <c r="D38" i="10"/>
  <c r="C38" i="10"/>
  <c r="J49" i="10"/>
  <c r="I49" i="10"/>
  <c r="H49" i="10"/>
  <c r="G49" i="10"/>
  <c r="F49" i="10"/>
  <c r="E49" i="10"/>
  <c r="D49" i="10"/>
  <c r="C49"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J32" i="10"/>
  <c r="I32" i="10"/>
  <c r="H32" i="10"/>
  <c r="G32" i="10"/>
  <c r="F32" i="10"/>
  <c r="E32" i="10"/>
  <c r="D32" i="10"/>
  <c r="C32" i="10"/>
  <c r="A220" i="18"/>
  <c r="A174" i="18"/>
  <c r="A173" i="18"/>
  <c r="A172" i="18"/>
  <c r="A171" i="18"/>
  <c r="D171" i="18" s="1"/>
  <c r="A158" i="18"/>
  <c r="D59" i="18"/>
  <c r="C59" i="18"/>
  <c r="B59" i="18"/>
  <c r="D58" i="18"/>
  <c r="C58" i="18"/>
  <c r="B58" i="18"/>
  <c r="D57" i="18"/>
  <c r="C57" i="18"/>
  <c r="B57" i="18"/>
  <c r="D56" i="18"/>
  <c r="C56" i="18"/>
  <c r="B56" i="18"/>
  <c r="D55" i="18"/>
  <c r="C55" i="18"/>
  <c r="B55" i="18"/>
  <c r="D54" i="18"/>
  <c r="C54" i="18"/>
  <c r="B54" i="18"/>
  <c r="D53" i="18"/>
  <c r="C53" i="18"/>
  <c r="B53" i="18"/>
  <c r="D52" i="18"/>
  <c r="C52" i="18"/>
  <c r="B52" i="18"/>
  <c r="D51" i="18"/>
  <c r="C51" i="18"/>
  <c r="B51" i="18"/>
  <c r="D50" i="18"/>
  <c r="C50" i="18"/>
  <c r="D65" i="18"/>
  <c r="C65" i="18"/>
  <c r="B65" i="18"/>
  <c r="D64" i="18"/>
  <c r="C64" i="18"/>
  <c r="B64" i="18"/>
  <c r="D49" i="18"/>
  <c r="C49" i="18"/>
  <c r="B49" i="18"/>
  <c r="D48" i="18"/>
  <c r="C48" i="18"/>
  <c r="B48" i="18"/>
  <c r="D47" i="18"/>
  <c r="C47" i="18"/>
  <c r="B47" i="18"/>
  <c r="D46" i="18"/>
  <c r="C46" i="18"/>
  <c r="B46" i="18"/>
  <c r="D45" i="18"/>
  <c r="C45" i="18"/>
  <c r="B45" i="18"/>
  <c r="D44" i="18"/>
  <c r="C44" i="18"/>
  <c r="B44" i="18"/>
  <c r="F20" i="2"/>
  <c r="E20" i="2"/>
  <c r="F19" i="2"/>
  <c r="E19" i="2"/>
  <c r="F18" i="2"/>
  <c r="E18" i="2"/>
  <c r="F16" i="2"/>
  <c r="E16" i="2"/>
  <c r="F15" i="2"/>
  <c r="E15" i="2"/>
  <c r="D269" i="14"/>
  <c r="C269" i="14"/>
  <c r="D245" i="14"/>
  <c r="C245" i="14"/>
  <c r="D232" i="14"/>
  <c r="C232" i="14"/>
  <c r="A232" i="14"/>
  <c r="H185" i="14"/>
  <c r="H184" i="14"/>
  <c r="H183" i="14"/>
  <c r="D185" i="14"/>
  <c r="C185" i="14"/>
  <c r="D184" i="14"/>
  <c r="C184" i="14"/>
  <c r="D183" i="14"/>
  <c r="C183" i="14"/>
  <c r="D182" i="14"/>
  <c r="C182" i="14"/>
  <c r="H52" i="14"/>
  <c r="F47" i="14"/>
  <c r="F58" i="14"/>
  <c r="H59" i="14"/>
  <c r="F59" i="14"/>
  <c r="H48" i="14"/>
  <c r="H54" i="14"/>
  <c r="F54" i="14"/>
  <c r="H49" i="14"/>
  <c r="F49" i="14"/>
  <c r="H51" i="14"/>
  <c r="H232" i="14"/>
  <c r="F232" i="14"/>
  <c r="H45" i="14"/>
  <c r="H63" i="14"/>
  <c r="H55" i="14"/>
  <c r="H50" i="14"/>
  <c r="D143" i="14"/>
  <c r="C143" i="14"/>
  <c r="A143" i="14"/>
  <c r="D142" i="14"/>
  <c r="C142" i="14"/>
  <c r="A142" i="14"/>
  <c r="F142" i="14" s="1"/>
  <c r="D141" i="14"/>
  <c r="C141" i="14"/>
  <c r="A141" i="14"/>
  <c r="F141" i="14" s="1"/>
  <c r="B139" i="1"/>
  <c r="B143" i="14" s="1"/>
  <c r="B138" i="1"/>
  <c r="B142" i="14" s="1"/>
  <c r="B137" i="1"/>
  <c r="B134" i="10" s="1"/>
  <c r="D40" i="14"/>
  <c r="C40" i="14"/>
  <c r="A19" i="20"/>
  <c r="B181" i="1"/>
  <c r="B180" i="1"/>
  <c r="B184" i="14" s="1"/>
  <c r="B179" i="1"/>
  <c r="B183" i="14" s="1"/>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A242" i="1"/>
  <c r="B228" i="1"/>
  <c r="B232" i="14" s="1"/>
  <c r="B196" i="1"/>
  <c r="A183" i="1"/>
  <c r="D38" i="20" s="1"/>
  <c r="B66" i="1"/>
  <c r="D200" i="20"/>
  <c r="D201" i="20"/>
  <c r="D198" i="20"/>
  <c r="D194" i="20"/>
  <c r="D190" i="20"/>
  <c r="D187" i="20"/>
  <c r="D183" i="20"/>
  <c r="D179" i="20"/>
  <c r="D175" i="20"/>
  <c r="D197" i="20"/>
  <c r="D193" i="20"/>
  <c r="D186" i="20"/>
  <c r="D182" i="20"/>
  <c r="D178" i="20"/>
  <c r="D174" i="20"/>
  <c r="D189" i="20"/>
  <c r="D181" i="20"/>
  <c r="D199" i="20"/>
  <c r="D195" i="20"/>
  <c r="D191" i="20"/>
  <c r="D188" i="20"/>
  <c r="D184" i="20"/>
  <c r="D180" i="20"/>
  <c r="D196" i="20"/>
  <c r="D192" i="20"/>
  <c r="D185" i="20"/>
  <c r="D177" i="20"/>
  <c r="D176" i="20"/>
  <c r="D76" i="20"/>
  <c r="D74" i="20"/>
  <c r="D77" i="20"/>
  <c r="D161" i="20"/>
  <c r="D160" i="20"/>
  <c r="E241" i="1"/>
  <c r="E240" i="1"/>
  <c r="E239" i="1"/>
  <c r="E238" i="1"/>
  <c r="E237" i="1"/>
  <c r="E236" i="1"/>
  <c r="E284" i="1"/>
  <c r="E283" i="1"/>
  <c r="E282" i="1"/>
  <c r="E281" i="1"/>
  <c r="E280" i="1"/>
  <c r="E279" i="1"/>
  <c r="E278" i="1"/>
  <c r="E277" i="1"/>
  <c r="E276" i="1"/>
  <c r="E275" i="1"/>
  <c r="E274" i="1"/>
  <c r="E273" i="1"/>
  <c r="E107" i="1"/>
  <c r="E106" i="1"/>
  <c r="E105" i="1"/>
  <c r="E104" i="1"/>
  <c r="E103" i="1"/>
  <c r="E102" i="1"/>
  <c r="E101" i="1"/>
  <c r="E100" i="1"/>
  <c r="E99" i="1"/>
  <c r="E98" i="1"/>
  <c r="E97" i="1"/>
  <c r="E96" i="1"/>
  <c r="E88" i="1"/>
  <c r="E87" i="1"/>
  <c r="E86" i="1"/>
  <c r="E85" i="1"/>
  <c r="E84" i="1"/>
  <c r="E83" i="1"/>
  <c r="E82" i="1"/>
  <c r="E81" i="1"/>
  <c r="E80" i="1"/>
  <c r="E79" i="1"/>
  <c r="E77" i="1"/>
  <c r="E76" i="1"/>
  <c r="E75" i="1"/>
  <c r="E74" i="1"/>
  <c r="E73" i="1"/>
  <c r="E72" i="1"/>
  <c r="E71" i="1"/>
  <c r="E70" i="1"/>
  <c r="E69" i="1"/>
  <c r="N24" i="20"/>
  <c r="K157" i="20" s="1"/>
  <c r="B33" i="1"/>
  <c r="B31" i="10" s="1"/>
  <c r="I262" i="10"/>
  <c r="H262" i="10"/>
  <c r="G262" i="10"/>
  <c r="F262" i="10"/>
  <c r="E262" i="10"/>
  <c r="D262" i="10"/>
  <c r="C262" i="10"/>
  <c r="I261" i="10"/>
  <c r="H261" i="10"/>
  <c r="G261" i="10"/>
  <c r="F261" i="10"/>
  <c r="E261" i="10"/>
  <c r="D261" i="10"/>
  <c r="C261" i="10"/>
  <c r="I260" i="10"/>
  <c r="H260" i="10"/>
  <c r="G260" i="10"/>
  <c r="F260" i="10"/>
  <c r="E260" i="10"/>
  <c r="D260" i="10"/>
  <c r="C260" i="10"/>
  <c r="I259" i="10"/>
  <c r="H259" i="10"/>
  <c r="G259" i="10"/>
  <c r="F259" i="10"/>
  <c r="E259" i="10"/>
  <c r="D259" i="10"/>
  <c r="C259" i="10"/>
  <c r="I258" i="10"/>
  <c r="H258" i="10"/>
  <c r="G258" i="10"/>
  <c r="F258" i="10"/>
  <c r="E258" i="10"/>
  <c r="D258" i="10"/>
  <c r="C258" i="10"/>
  <c r="I257" i="10"/>
  <c r="H257" i="10"/>
  <c r="G257" i="10"/>
  <c r="F257" i="10"/>
  <c r="E257" i="10"/>
  <c r="D257" i="10"/>
  <c r="C257" i="10"/>
  <c r="I256" i="10"/>
  <c r="H256" i="10"/>
  <c r="G256" i="10"/>
  <c r="F256" i="10"/>
  <c r="E256" i="10"/>
  <c r="D256" i="10"/>
  <c r="C256" i="10"/>
  <c r="I255" i="10"/>
  <c r="H255" i="10"/>
  <c r="G255" i="10"/>
  <c r="F255" i="10"/>
  <c r="E255" i="10"/>
  <c r="D255" i="10"/>
  <c r="C255" i="10"/>
  <c r="I254" i="10"/>
  <c r="H254" i="10"/>
  <c r="G254" i="10"/>
  <c r="F254" i="10"/>
  <c r="E254" i="10"/>
  <c r="D254" i="10"/>
  <c r="C254" i="10"/>
  <c r="I253" i="10"/>
  <c r="H253" i="10"/>
  <c r="G253" i="10"/>
  <c r="F253" i="10"/>
  <c r="E253" i="10"/>
  <c r="D253" i="10"/>
  <c r="C253" i="10"/>
  <c r="I252" i="10"/>
  <c r="H252" i="10"/>
  <c r="G252" i="10"/>
  <c r="F252" i="10"/>
  <c r="E252" i="10"/>
  <c r="D252" i="10"/>
  <c r="C252" i="10"/>
  <c r="I251" i="10"/>
  <c r="H251" i="10"/>
  <c r="G251" i="10"/>
  <c r="F251" i="10"/>
  <c r="E251" i="10"/>
  <c r="D251" i="10"/>
  <c r="C251" i="10"/>
  <c r="I250" i="10"/>
  <c r="H250" i="10"/>
  <c r="G250" i="10"/>
  <c r="F250" i="10"/>
  <c r="E250" i="10"/>
  <c r="D250" i="10"/>
  <c r="C250" i="10"/>
  <c r="I249" i="10"/>
  <c r="H249" i="10"/>
  <c r="G249" i="10"/>
  <c r="F249" i="10"/>
  <c r="E249" i="10"/>
  <c r="D249" i="10"/>
  <c r="C249" i="10"/>
  <c r="I248" i="10"/>
  <c r="H248" i="10"/>
  <c r="G248" i="10"/>
  <c r="F248" i="10"/>
  <c r="E248" i="10"/>
  <c r="D248" i="10"/>
  <c r="C248" i="10"/>
  <c r="I247" i="10"/>
  <c r="H247" i="10"/>
  <c r="G247" i="10"/>
  <c r="F247" i="10"/>
  <c r="E247" i="10"/>
  <c r="D247" i="10"/>
  <c r="C247" i="10"/>
  <c r="I246" i="10"/>
  <c r="H246" i="10"/>
  <c r="G246" i="10"/>
  <c r="F246" i="10"/>
  <c r="E246" i="10"/>
  <c r="D246" i="10"/>
  <c r="C246" i="10"/>
  <c r="I245" i="10"/>
  <c r="H245" i="10"/>
  <c r="G245" i="10"/>
  <c r="F245" i="10"/>
  <c r="E245" i="10"/>
  <c r="D245" i="10"/>
  <c r="C245" i="10"/>
  <c r="I244" i="10"/>
  <c r="H244" i="10"/>
  <c r="G244" i="10"/>
  <c r="F244" i="10"/>
  <c r="E244" i="10"/>
  <c r="D244" i="10"/>
  <c r="C244" i="10"/>
  <c r="I243" i="10"/>
  <c r="H243" i="10"/>
  <c r="G243" i="10"/>
  <c r="F243" i="10"/>
  <c r="E243" i="10"/>
  <c r="D243" i="10"/>
  <c r="C243" i="10"/>
  <c r="I242" i="10"/>
  <c r="H242" i="10"/>
  <c r="G242" i="10"/>
  <c r="F242" i="10"/>
  <c r="E242" i="10"/>
  <c r="D242" i="10"/>
  <c r="C242" i="10"/>
  <c r="I241" i="10"/>
  <c r="H241" i="10"/>
  <c r="G241" i="10"/>
  <c r="F241" i="10"/>
  <c r="E241" i="10"/>
  <c r="D241" i="10"/>
  <c r="C241" i="10"/>
  <c r="I240" i="10"/>
  <c r="H240" i="10"/>
  <c r="G240" i="10"/>
  <c r="F240" i="10"/>
  <c r="E240" i="10"/>
  <c r="D240" i="10"/>
  <c r="C240" i="10"/>
  <c r="I238" i="10"/>
  <c r="H238" i="10"/>
  <c r="G238" i="10"/>
  <c r="F238" i="10"/>
  <c r="E238" i="10"/>
  <c r="D238" i="10"/>
  <c r="C238" i="10"/>
  <c r="I237" i="10"/>
  <c r="H237" i="10"/>
  <c r="G237" i="10"/>
  <c r="F237" i="10"/>
  <c r="E237" i="10"/>
  <c r="D237" i="10"/>
  <c r="C237" i="10"/>
  <c r="I236" i="10"/>
  <c r="H236" i="10"/>
  <c r="G236" i="10"/>
  <c r="F236" i="10"/>
  <c r="E236" i="10"/>
  <c r="D236" i="10"/>
  <c r="C236" i="10"/>
  <c r="I235" i="10"/>
  <c r="H235" i="10"/>
  <c r="G235" i="10"/>
  <c r="F235" i="10"/>
  <c r="E235" i="10"/>
  <c r="D235" i="10"/>
  <c r="C235" i="10"/>
  <c r="I234" i="10"/>
  <c r="H234" i="10"/>
  <c r="G234" i="10"/>
  <c r="F234" i="10"/>
  <c r="E234" i="10"/>
  <c r="D234" i="10"/>
  <c r="C234" i="10"/>
  <c r="I233" i="10"/>
  <c r="H233" i="10"/>
  <c r="G233" i="10"/>
  <c r="F233" i="10"/>
  <c r="E233" i="10"/>
  <c r="D233" i="10"/>
  <c r="C233" i="10"/>
  <c r="I231" i="10"/>
  <c r="H231" i="10"/>
  <c r="G231" i="10"/>
  <c r="F231" i="10"/>
  <c r="E231" i="10"/>
  <c r="D231" i="10"/>
  <c r="C231" i="10"/>
  <c r="I230" i="10"/>
  <c r="H230" i="10"/>
  <c r="G230" i="10"/>
  <c r="F230" i="10"/>
  <c r="E230" i="10"/>
  <c r="D230" i="10"/>
  <c r="C230" i="10"/>
  <c r="I229" i="10"/>
  <c r="H229" i="10"/>
  <c r="G229" i="10"/>
  <c r="F229" i="10"/>
  <c r="E229" i="10"/>
  <c r="D229" i="10"/>
  <c r="C229" i="10"/>
  <c r="I228" i="10"/>
  <c r="H228" i="10"/>
  <c r="G228" i="10"/>
  <c r="F228" i="10"/>
  <c r="E228" i="10"/>
  <c r="D228" i="10"/>
  <c r="C228" i="10"/>
  <c r="I227" i="10"/>
  <c r="H227" i="10"/>
  <c r="G227" i="10"/>
  <c r="F227" i="10"/>
  <c r="E227" i="10"/>
  <c r="D227" i="10"/>
  <c r="C227" i="10"/>
  <c r="I220" i="10"/>
  <c r="H220" i="10"/>
  <c r="G220" i="10"/>
  <c r="F220" i="10"/>
  <c r="E220" i="10"/>
  <c r="D220" i="10"/>
  <c r="C220" i="10"/>
  <c r="I219" i="10"/>
  <c r="H219" i="10"/>
  <c r="G219" i="10"/>
  <c r="F219" i="10"/>
  <c r="E219" i="10"/>
  <c r="D219" i="10"/>
  <c r="C219" i="10"/>
  <c r="I218" i="10"/>
  <c r="H218" i="10"/>
  <c r="G218" i="10"/>
  <c r="F218" i="10"/>
  <c r="E218" i="10"/>
  <c r="D218" i="10"/>
  <c r="C218" i="10"/>
  <c r="I217" i="10"/>
  <c r="H217" i="10"/>
  <c r="G217" i="10"/>
  <c r="F217" i="10"/>
  <c r="E217" i="10"/>
  <c r="D217" i="10"/>
  <c r="C217" i="10"/>
  <c r="I216" i="10"/>
  <c r="H216" i="10"/>
  <c r="G216" i="10"/>
  <c r="F216" i="10"/>
  <c r="E216" i="10"/>
  <c r="D216" i="10"/>
  <c r="C216" i="10"/>
  <c r="I215" i="10"/>
  <c r="H215" i="10"/>
  <c r="G215" i="10"/>
  <c r="F215" i="10"/>
  <c r="E215" i="10"/>
  <c r="D215" i="10"/>
  <c r="C215" i="10"/>
  <c r="I214" i="10"/>
  <c r="H214" i="10"/>
  <c r="G214" i="10"/>
  <c r="F214" i="10"/>
  <c r="E214" i="10"/>
  <c r="D214" i="10"/>
  <c r="C214" i="10"/>
  <c r="I213" i="10"/>
  <c r="H213" i="10"/>
  <c r="G213" i="10"/>
  <c r="F213" i="10"/>
  <c r="E213" i="10"/>
  <c r="D213" i="10"/>
  <c r="C213" i="10"/>
  <c r="I212" i="10"/>
  <c r="H212" i="10"/>
  <c r="G212" i="10"/>
  <c r="F212" i="10"/>
  <c r="E212" i="10"/>
  <c r="D212" i="10"/>
  <c r="C212" i="10"/>
  <c r="I211" i="10"/>
  <c r="H211" i="10"/>
  <c r="G211" i="10"/>
  <c r="F211" i="10"/>
  <c r="E211" i="10"/>
  <c r="D211" i="10"/>
  <c r="C211" i="10"/>
  <c r="I210" i="10"/>
  <c r="H210" i="10"/>
  <c r="G210" i="10"/>
  <c r="F210" i="10"/>
  <c r="E210" i="10"/>
  <c r="D210" i="10"/>
  <c r="C210" i="10"/>
  <c r="I209" i="10"/>
  <c r="H209" i="10"/>
  <c r="G209" i="10"/>
  <c r="F209" i="10"/>
  <c r="E209" i="10"/>
  <c r="D209" i="10"/>
  <c r="C209" i="10"/>
  <c r="I208" i="10"/>
  <c r="H208" i="10"/>
  <c r="G208" i="10"/>
  <c r="F208" i="10"/>
  <c r="E208" i="10"/>
  <c r="D208" i="10"/>
  <c r="C208" i="10"/>
  <c r="I207" i="10"/>
  <c r="H207" i="10"/>
  <c r="G207" i="10"/>
  <c r="F207" i="10"/>
  <c r="E207" i="10"/>
  <c r="D207" i="10"/>
  <c r="C207" i="10"/>
  <c r="I206" i="10"/>
  <c r="H206" i="10"/>
  <c r="G206" i="10"/>
  <c r="F206" i="10"/>
  <c r="E206" i="10"/>
  <c r="D206" i="10"/>
  <c r="C206" i="10"/>
  <c r="I205" i="10"/>
  <c r="H205" i="10"/>
  <c r="G205" i="10"/>
  <c r="F205" i="10"/>
  <c r="E205" i="10"/>
  <c r="D205" i="10"/>
  <c r="C205" i="10"/>
  <c r="I203" i="10"/>
  <c r="H203" i="10"/>
  <c r="G203" i="10"/>
  <c r="F203" i="10"/>
  <c r="E203" i="10"/>
  <c r="D203" i="10"/>
  <c r="C203" i="10"/>
  <c r="I202" i="10"/>
  <c r="H202" i="10"/>
  <c r="G202" i="10"/>
  <c r="F202" i="10"/>
  <c r="E202" i="10"/>
  <c r="D202" i="10"/>
  <c r="C202" i="10"/>
  <c r="I201" i="10"/>
  <c r="H201" i="10"/>
  <c r="G201" i="10"/>
  <c r="F201" i="10"/>
  <c r="E201" i="10"/>
  <c r="D201" i="10"/>
  <c r="C201" i="10"/>
  <c r="I200" i="10"/>
  <c r="H200" i="10"/>
  <c r="G200" i="10"/>
  <c r="F200" i="10"/>
  <c r="E200" i="10"/>
  <c r="D200" i="10"/>
  <c r="C200" i="10"/>
  <c r="I199" i="10"/>
  <c r="H199" i="10"/>
  <c r="G199" i="10"/>
  <c r="F199" i="10"/>
  <c r="E199" i="10"/>
  <c r="D199" i="10"/>
  <c r="C199" i="10"/>
  <c r="I198" i="10"/>
  <c r="H198" i="10"/>
  <c r="G198" i="10"/>
  <c r="F198" i="10"/>
  <c r="E198" i="10"/>
  <c r="D198" i="10"/>
  <c r="C198" i="10"/>
  <c r="I197" i="10"/>
  <c r="H197" i="10"/>
  <c r="G197" i="10"/>
  <c r="F197" i="10"/>
  <c r="E197" i="10"/>
  <c r="D197" i="10"/>
  <c r="C197" i="10"/>
  <c r="I196" i="10"/>
  <c r="H196" i="10"/>
  <c r="G196" i="10"/>
  <c r="F196" i="10"/>
  <c r="E196" i="10"/>
  <c r="D196" i="10"/>
  <c r="C196" i="10"/>
  <c r="I195" i="10"/>
  <c r="H195" i="10"/>
  <c r="G195" i="10"/>
  <c r="F195" i="10"/>
  <c r="E195" i="10"/>
  <c r="D195" i="10"/>
  <c r="C195" i="10"/>
  <c r="I194" i="10"/>
  <c r="H194" i="10"/>
  <c r="G194" i="10"/>
  <c r="F194" i="10"/>
  <c r="E194" i="10"/>
  <c r="D194" i="10"/>
  <c r="C194" i="10"/>
  <c r="I193" i="10"/>
  <c r="H193" i="10"/>
  <c r="G193" i="10"/>
  <c r="F193" i="10"/>
  <c r="E193" i="10"/>
  <c r="D193" i="10"/>
  <c r="C193" i="10"/>
  <c r="I191" i="10"/>
  <c r="H191" i="10"/>
  <c r="G191" i="10"/>
  <c r="F191" i="10"/>
  <c r="E191" i="10"/>
  <c r="D191" i="10"/>
  <c r="C191" i="10"/>
  <c r="I190" i="10"/>
  <c r="H190" i="10"/>
  <c r="G190" i="10"/>
  <c r="F190" i="10"/>
  <c r="E190" i="10"/>
  <c r="D190" i="10"/>
  <c r="C190" i="10"/>
  <c r="I189" i="10"/>
  <c r="H189" i="10"/>
  <c r="G189" i="10"/>
  <c r="F189" i="10"/>
  <c r="E189" i="10"/>
  <c r="D189" i="10"/>
  <c r="C189" i="10"/>
  <c r="I188" i="10"/>
  <c r="H188" i="10"/>
  <c r="G188" i="10"/>
  <c r="F188" i="10"/>
  <c r="E188" i="10"/>
  <c r="D188" i="10"/>
  <c r="C188" i="10"/>
  <c r="I187" i="10"/>
  <c r="H187" i="10"/>
  <c r="G187" i="10"/>
  <c r="F187" i="10"/>
  <c r="E187" i="10"/>
  <c r="D187" i="10"/>
  <c r="C187" i="10"/>
  <c r="I186" i="10"/>
  <c r="H186" i="10"/>
  <c r="G186" i="10"/>
  <c r="F186" i="10"/>
  <c r="E186" i="10"/>
  <c r="D186" i="10"/>
  <c r="C186" i="10"/>
  <c r="I185" i="10"/>
  <c r="H185" i="10"/>
  <c r="G185" i="10"/>
  <c r="F185" i="10"/>
  <c r="E185" i="10"/>
  <c r="D185" i="10"/>
  <c r="C185" i="10"/>
  <c r="I184" i="10"/>
  <c r="H184" i="10"/>
  <c r="G184" i="10"/>
  <c r="F184" i="10"/>
  <c r="E184" i="10"/>
  <c r="D184" i="10"/>
  <c r="C184" i="10"/>
  <c r="I183" i="10"/>
  <c r="H183" i="10"/>
  <c r="G183" i="10"/>
  <c r="F183" i="10"/>
  <c r="E183" i="10"/>
  <c r="D183" i="10"/>
  <c r="C183" i="10"/>
  <c r="I182" i="10"/>
  <c r="H182" i="10"/>
  <c r="G182" i="10"/>
  <c r="F182" i="10"/>
  <c r="E182" i="10"/>
  <c r="D182" i="10"/>
  <c r="C182" i="10"/>
  <c r="I181" i="10"/>
  <c r="H181" i="10"/>
  <c r="G181" i="10"/>
  <c r="F181" i="10"/>
  <c r="E181" i="10"/>
  <c r="D181" i="10"/>
  <c r="C181" i="10"/>
  <c r="I179" i="10"/>
  <c r="H179" i="10"/>
  <c r="G179" i="10"/>
  <c r="F179" i="10"/>
  <c r="E179" i="10"/>
  <c r="D179" i="10"/>
  <c r="C179" i="10"/>
  <c r="I178" i="10"/>
  <c r="H178" i="10"/>
  <c r="G178" i="10"/>
  <c r="F178" i="10"/>
  <c r="E178" i="10"/>
  <c r="D178" i="10"/>
  <c r="C178" i="10"/>
  <c r="I177" i="10"/>
  <c r="H177" i="10"/>
  <c r="G177" i="10"/>
  <c r="F177" i="10"/>
  <c r="E177" i="10"/>
  <c r="D177" i="10"/>
  <c r="C177" i="10"/>
  <c r="I176" i="10"/>
  <c r="H176" i="10"/>
  <c r="G176" i="10"/>
  <c r="F176" i="10"/>
  <c r="E176" i="10"/>
  <c r="D176" i="10"/>
  <c r="C176" i="10"/>
  <c r="I175" i="10"/>
  <c r="H175" i="10"/>
  <c r="G175" i="10"/>
  <c r="F175" i="10"/>
  <c r="E175" i="10"/>
  <c r="D175" i="10"/>
  <c r="C175" i="10"/>
  <c r="I174" i="10"/>
  <c r="H174" i="10"/>
  <c r="G174" i="10"/>
  <c r="F174" i="10"/>
  <c r="E174" i="10"/>
  <c r="D174" i="10"/>
  <c r="C174" i="10"/>
  <c r="I173" i="10"/>
  <c r="H173" i="10"/>
  <c r="G173" i="10"/>
  <c r="F173" i="10"/>
  <c r="E173" i="10"/>
  <c r="D173" i="10"/>
  <c r="C173" i="10"/>
  <c r="I172" i="10"/>
  <c r="H172" i="10"/>
  <c r="G172" i="10"/>
  <c r="F172" i="10"/>
  <c r="E172" i="10"/>
  <c r="D172" i="10"/>
  <c r="C172" i="10"/>
  <c r="I171" i="10"/>
  <c r="H171" i="10"/>
  <c r="G171" i="10"/>
  <c r="F171" i="10"/>
  <c r="E171" i="10"/>
  <c r="D171" i="10"/>
  <c r="C171" i="10"/>
  <c r="I170" i="10"/>
  <c r="H170" i="10"/>
  <c r="G170" i="10"/>
  <c r="F170" i="10"/>
  <c r="E170" i="10"/>
  <c r="D170" i="10"/>
  <c r="C170" i="10"/>
  <c r="I169" i="10"/>
  <c r="H169" i="10"/>
  <c r="G169" i="10"/>
  <c r="F169" i="10"/>
  <c r="E169" i="10"/>
  <c r="D169" i="10"/>
  <c r="C169" i="10"/>
  <c r="I168" i="10"/>
  <c r="H168" i="10"/>
  <c r="G168" i="10"/>
  <c r="F168" i="10"/>
  <c r="E168" i="10"/>
  <c r="D168" i="10"/>
  <c r="C168" i="10"/>
  <c r="I167" i="10"/>
  <c r="H167" i="10"/>
  <c r="G167" i="10"/>
  <c r="F167" i="10"/>
  <c r="E167" i="10"/>
  <c r="D167" i="10"/>
  <c r="C167" i="10"/>
  <c r="I166" i="10"/>
  <c r="H166" i="10"/>
  <c r="G166" i="10"/>
  <c r="F166" i="10"/>
  <c r="E166" i="10"/>
  <c r="D166" i="10"/>
  <c r="C166" i="10"/>
  <c r="I165" i="10"/>
  <c r="H165" i="10"/>
  <c r="G165" i="10"/>
  <c r="F165" i="10"/>
  <c r="E165" i="10"/>
  <c r="D165" i="10"/>
  <c r="C165" i="10"/>
  <c r="I164" i="10"/>
  <c r="H164" i="10"/>
  <c r="G164" i="10"/>
  <c r="F164" i="10"/>
  <c r="E164" i="10"/>
  <c r="D164" i="10"/>
  <c r="C164" i="10"/>
  <c r="I163" i="10"/>
  <c r="H163" i="10"/>
  <c r="G163" i="10"/>
  <c r="F163" i="10"/>
  <c r="E163" i="10"/>
  <c r="D163" i="10"/>
  <c r="C163" i="10"/>
  <c r="I161" i="10"/>
  <c r="H161" i="10"/>
  <c r="G161" i="10"/>
  <c r="F161" i="10"/>
  <c r="E161" i="10"/>
  <c r="D161" i="10"/>
  <c r="C161" i="10"/>
  <c r="I160" i="10"/>
  <c r="H160" i="10"/>
  <c r="G160" i="10"/>
  <c r="F160" i="10"/>
  <c r="E160" i="10"/>
  <c r="D160" i="10"/>
  <c r="C160" i="10"/>
  <c r="I159" i="10"/>
  <c r="H159" i="10"/>
  <c r="G159" i="10"/>
  <c r="F159" i="10"/>
  <c r="E159" i="10"/>
  <c r="D159" i="10"/>
  <c r="C159" i="10"/>
  <c r="I158" i="10"/>
  <c r="H158" i="10"/>
  <c r="G158" i="10"/>
  <c r="F158" i="10"/>
  <c r="E158" i="10"/>
  <c r="D158" i="10"/>
  <c r="C158" i="10"/>
  <c r="I157" i="10"/>
  <c r="H157" i="10"/>
  <c r="G157" i="10"/>
  <c r="F157" i="10"/>
  <c r="E157" i="10"/>
  <c r="D157" i="10"/>
  <c r="C157" i="10"/>
  <c r="I156" i="10"/>
  <c r="H156" i="10"/>
  <c r="G156" i="10"/>
  <c r="F156" i="10"/>
  <c r="E156" i="10"/>
  <c r="D156" i="10"/>
  <c r="C156" i="10"/>
  <c r="I155" i="10"/>
  <c r="H155" i="10"/>
  <c r="G155" i="10"/>
  <c r="F155" i="10"/>
  <c r="E155" i="10"/>
  <c r="D155" i="10"/>
  <c r="C155" i="10"/>
  <c r="I154" i="10"/>
  <c r="H154" i="10"/>
  <c r="G154" i="10"/>
  <c r="F154" i="10"/>
  <c r="E154" i="10"/>
  <c r="D154" i="10"/>
  <c r="C154" i="10"/>
  <c r="I153" i="10"/>
  <c r="H153" i="10"/>
  <c r="G153" i="10"/>
  <c r="F153" i="10"/>
  <c r="E153" i="10"/>
  <c r="D153" i="10"/>
  <c r="C153" i="10"/>
  <c r="I152" i="10"/>
  <c r="H152" i="10"/>
  <c r="G152" i="10"/>
  <c r="F152" i="10"/>
  <c r="E152" i="10"/>
  <c r="D152" i="10"/>
  <c r="C152" i="10"/>
  <c r="I151" i="10"/>
  <c r="H151" i="10"/>
  <c r="G151" i="10"/>
  <c r="F151" i="10"/>
  <c r="E151" i="10"/>
  <c r="D151" i="10"/>
  <c r="C151" i="10"/>
  <c r="I150" i="10"/>
  <c r="H150" i="10"/>
  <c r="G150" i="10"/>
  <c r="F150" i="10"/>
  <c r="E150" i="10"/>
  <c r="D150" i="10"/>
  <c r="C150" i="10"/>
  <c r="I149" i="10"/>
  <c r="H149" i="10"/>
  <c r="G149" i="10"/>
  <c r="F149" i="10"/>
  <c r="E149" i="10"/>
  <c r="D149" i="10"/>
  <c r="C149" i="10"/>
  <c r="I148" i="10"/>
  <c r="H148" i="10"/>
  <c r="G148" i="10"/>
  <c r="F148" i="10"/>
  <c r="E148" i="10"/>
  <c r="D148" i="10"/>
  <c r="C148" i="10"/>
  <c r="I147" i="10"/>
  <c r="H147" i="10"/>
  <c r="G147" i="10"/>
  <c r="F147" i="10"/>
  <c r="E147" i="10"/>
  <c r="D147" i="10"/>
  <c r="C147" i="10"/>
  <c r="I146" i="10"/>
  <c r="H146" i="10"/>
  <c r="G146" i="10"/>
  <c r="F146" i="10"/>
  <c r="E146" i="10"/>
  <c r="D146" i="10"/>
  <c r="C146" i="10"/>
  <c r="I145" i="10"/>
  <c r="H145" i="10"/>
  <c r="G145" i="10"/>
  <c r="F145" i="10"/>
  <c r="E145" i="10"/>
  <c r="D145" i="10"/>
  <c r="C145" i="10"/>
  <c r="I144" i="10"/>
  <c r="H144" i="10"/>
  <c r="G144" i="10"/>
  <c r="F144" i="10"/>
  <c r="E144" i="10"/>
  <c r="D144" i="10"/>
  <c r="C144" i="10"/>
  <c r="I143" i="10"/>
  <c r="H143" i="10"/>
  <c r="G143" i="10"/>
  <c r="F143" i="10"/>
  <c r="E143" i="10"/>
  <c r="D143" i="10"/>
  <c r="C143" i="10"/>
  <c r="I142" i="10"/>
  <c r="H142" i="10"/>
  <c r="G142" i="10"/>
  <c r="F142" i="10"/>
  <c r="E142" i="10"/>
  <c r="D142" i="10"/>
  <c r="C142" i="10"/>
  <c r="I141" i="10"/>
  <c r="H141" i="10"/>
  <c r="G141" i="10"/>
  <c r="F141" i="10"/>
  <c r="E141" i="10"/>
  <c r="D141" i="10"/>
  <c r="C141" i="10"/>
  <c r="I140" i="10"/>
  <c r="H140" i="10"/>
  <c r="G140" i="10"/>
  <c r="F140" i="10"/>
  <c r="E140" i="10"/>
  <c r="D140" i="10"/>
  <c r="C140" i="10"/>
  <c r="I139" i="10"/>
  <c r="H139" i="10"/>
  <c r="G139" i="10"/>
  <c r="F139" i="10"/>
  <c r="E139" i="10"/>
  <c r="D139" i="10"/>
  <c r="C139" i="10"/>
  <c r="I138" i="10"/>
  <c r="H138" i="10"/>
  <c r="G138" i="10"/>
  <c r="F138" i="10"/>
  <c r="E138" i="10"/>
  <c r="D138" i="10"/>
  <c r="C138" i="10"/>
  <c r="I136" i="10"/>
  <c r="H136" i="10"/>
  <c r="G136" i="10"/>
  <c r="F136" i="10"/>
  <c r="E136" i="10"/>
  <c r="D136" i="10"/>
  <c r="C136" i="10"/>
  <c r="I135" i="10"/>
  <c r="H135" i="10"/>
  <c r="G135" i="10"/>
  <c r="F135" i="10"/>
  <c r="E135" i="10"/>
  <c r="D135" i="10"/>
  <c r="C135" i="10"/>
  <c r="I134" i="10"/>
  <c r="H134" i="10"/>
  <c r="G134" i="10"/>
  <c r="F134" i="10"/>
  <c r="E134" i="10"/>
  <c r="D134" i="10"/>
  <c r="C134" i="10"/>
  <c r="I133" i="10"/>
  <c r="H133" i="10"/>
  <c r="G133" i="10"/>
  <c r="F133" i="10"/>
  <c r="E133" i="10"/>
  <c r="D133" i="10"/>
  <c r="C133" i="10"/>
  <c r="I132" i="10"/>
  <c r="H132" i="10"/>
  <c r="G132" i="10"/>
  <c r="F132" i="10"/>
  <c r="E132" i="10"/>
  <c r="D132" i="10"/>
  <c r="C132" i="10"/>
  <c r="I131" i="10"/>
  <c r="H131" i="10"/>
  <c r="G131" i="10"/>
  <c r="F131" i="10"/>
  <c r="E131" i="10"/>
  <c r="D131" i="10"/>
  <c r="C131" i="10"/>
  <c r="I130" i="10"/>
  <c r="H130" i="10"/>
  <c r="G130" i="10"/>
  <c r="F130" i="10"/>
  <c r="E130" i="10"/>
  <c r="D130" i="10"/>
  <c r="C130" i="10"/>
  <c r="I129" i="10"/>
  <c r="H129" i="10"/>
  <c r="G129" i="10"/>
  <c r="F129" i="10"/>
  <c r="E129" i="10"/>
  <c r="D129" i="10"/>
  <c r="C129" i="10"/>
  <c r="I128" i="10"/>
  <c r="H128" i="10"/>
  <c r="G128" i="10"/>
  <c r="F128" i="10"/>
  <c r="E128" i="10"/>
  <c r="D128" i="10"/>
  <c r="C128" i="10"/>
  <c r="I127" i="10"/>
  <c r="H127" i="10"/>
  <c r="G127" i="10"/>
  <c r="F127" i="10"/>
  <c r="E127" i="10"/>
  <c r="D127" i="10"/>
  <c r="C127" i="10"/>
  <c r="I126" i="10"/>
  <c r="H126" i="10"/>
  <c r="G126" i="10"/>
  <c r="F126" i="10"/>
  <c r="E126" i="10"/>
  <c r="D126" i="10"/>
  <c r="C126" i="10"/>
  <c r="I125" i="10"/>
  <c r="H125" i="10"/>
  <c r="G125" i="10"/>
  <c r="F125" i="10"/>
  <c r="E125" i="10"/>
  <c r="D125" i="10"/>
  <c r="C125" i="10"/>
  <c r="I124" i="10"/>
  <c r="H124" i="10"/>
  <c r="G124" i="10"/>
  <c r="F124" i="10"/>
  <c r="E124" i="10"/>
  <c r="D124" i="10"/>
  <c r="C124" i="10"/>
  <c r="I123" i="10"/>
  <c r="H123" i="10"/>
  <c r="G123" i="10"/>
  <c r="F123" i="10"/>
  <c r="E123" i="10"/>
  <c r="D123" i="10"/>
  <c r="C123" i="10"/>
  <c r="I122" i="10"/>
  <c r="H122" i="10"/>
  <c r="G122" i="10"/>
  <c r="F122" i="10"/>
  <c r="E122" i="10"/>
  <c r="D122" i="10"/>
  <c r="C122" i="10"/>
  <c r="I120" i="10"/>
  <c r="H120" i="10"/>
  <c r="G120" i="10"/>
  <c r="F120" i="10"/>
  <c r="E120" i="10"/>
  <c r="D120" i="10"/>
  <c r="C120" i="10"/>
  <c r="I119" i="10"/>
  <c r="H119" i="10"/>
  <c r="G119" i="10"/>
  <c r="F119" i="10"/>
  <c r="E119" i="10"/>
  <c r="D119" i="10"/>
  <c r="C119" i="10"/>
  <c r="I118" i="10"/>
  <c r="H118" i="10"/>
  <c r="G118" i="10"/>
  <c r="F118" i="10"/>
  <c r="E118" i="10"/>
  <c r="D118" i="10"/>
  <c r="C118" i="10"/>
  <c r="I117" i="10"/>
  <c r="H117" i="10"/>
  <c r="G117" i="10"/>
  <c r="F117" i="10"/>
  <c r="E117" i="10"/>
  <c r="D117" i="10"/>
  <c r="C117" i="10"/>
  <c r="I116" i="10"/>
  <c r="H116" i="10"/>
  <c r="G116" i="10"/>
  <c r="F116" i="10"/>
  <c r="E116" i="10"/>
  <c r="D116" i="10"/>
  <c r="C116" i="10"/>
  <c r="I115" i="10"/>
  <c r="H115" i="10"/>
  <c r="G115" i="10"/>
  <c r="F115" i="10"/>
  <c r="E115" i="10"/>
  <c r="D115" i="10"/>
  <c r="C115" i="10"/>
  <c r="I114" i="10"/>
  <c r="H114" i="10"/>
  <c r="G114" i="10"/>
  <c r="F114" i="10"/>
  <c r="E114" i="10"/>
  <c r="D114" i="10"/>
  <c r="C114" i="10"/>
  <c r="I113" i="10"/>
  <c r="H113" i="10"/>
  <c r="G113" i="10"/>
  <c r="F113" i="10"/>
  <c r="E113" i="10"/>
  <c r="D113" i="10"/>
  <c r="C113" i="10"/>
  <c r="I112" i="10"/>
  <c r="H112" i="10"/>
  <c r="G112" i="10"/>
  <c r="F112" i="10"/>
  <c r="E112" i="10"/>
  <c r="D112" i="10"/>
  <c r="C112" i="10"/>
  <c r="I111" i="10"/>
  <c r="H111" i="10"/>
  <c r="G111" i="10"/>
  <c r="F111" i="10"/>
  <c r="E111" i="10"/>
  <c r="D111" i="10"/>
  <c r="C111" i="10"/>
  <c r="I106" i="10"/>
  <c r="H106" i="10"/>
  <c r="G106" i="10"/>
  <c r="F106" i="10"/>
  <c r="E106" i="10"/>
  <c r="D106" i="10"/>
  <c r="C106" i="10"/>
  <c r="I105" i="10"/>
  <c r="H105" i="10"/>
  <c r="G105" i="10"/>
  <c r="F105" i="10"/>
  <c r="E105" i="10"/>
  <c r="D105" i="10"/>
  <c r="C105" i="10"/>
  <c r="I104" i="10"/>
  <c r="H104" i="10"/>
  <c r="G104" i="10"/>
  <c r="F104" i="10"/>
  <c r="E104" i="10"/>
  <c r="D104" i="10"/>
  <c r="C104" i="10"/>
  <c r="I103" i="10"/>
  <c r="H103" i="10"/>
  <c r="G103" i="10"/>
  <c r="F103" i="10"/>
  <c r="E103" i="10"/>
  <c r="D103" i="10"/>
  <c r="C103" i="10"/>
  <c r="I102" i="10"/>
  <c r="H102" i="10"/>
  <c r="G102" i="10"/>
  <c r="F102" i="10"/>
  <c r="E102" i="10"/>
  <c r="D102" i="10"/>
  <c r="C102" i="10"/>
  <c r="I101" i="10"/>
  <c r="H101" i="10"/>
  <c r="G101" i="10"/>
  <c r="F101" i="10"/>
  <c r="E101" i="10"/>
  <c r="D101" i="10"/>
  <c r="C101" i="10"/>
  <c r="I100" i="10"/>
  <c r="H100" i="10"/>
  <c r="G100" i="10"/>
  <c r="F100" i="10"/>
  <c r="E100" i="10"/>
  <c r="D100" i="10"/>
  <c r="C100" i="10"/>
  <c r="I99" i="10"/>
  <c r="H99" i="10"/>
  <c r="G99" i="10"/>
  <c r="F99" i="10"/>
  <c r="E99" i="10"/>
  <c r="D99" i="10"/>
  <c r="C99" i="10"/>
  <c r="I98" i="10"/>
  <c r="H98" i="10"/>
  <c r="G98" i="10"/>
  <c r="F98" i="10"/>
  <c r="E98" i="10"/>
  <c r="D98" i="10"/>
  <c r="C98" i="10"/>
  <c r="I97" i="10"/>
  <c r="H97" i="10"/>
  <c r="G97" i="10"/>
  <c r="F97" i="10"/>
  <c r="E97" i="10"/>
  <c r="D97" i="10"/>
  <c r="C97" i="10"/>
  <c r="I96" i="10"/>
  <c r="H96" i="10"/>
  <c r="G96" i="10"/>
  <c r="F96" i="10"/>
  <c r="E96" i="10"/>
  <c r="D96" i="10"/>
  <c r="C96" i="10"/>
  <c r="I95" i="10"/>
  <c r="H95" i="10"/>
  <c r="G95" i="10"/>
  <c r="F95" i="10"/>
  <c r="E95" i="10"/>
  <c r="D95" i="10"/>
  <c r="C95" i="10"/>
  <c r="I94" i="10"/>
  <c r="H94" i="10"/>
  <c r="G94" i="10"/>
  <c r="F94" i="10"/>
  <c r="E94" i="10"/>
  <c r="D94" i="10"/>
  <c r="C94" i="10"/>
  <c r="I93" i="10"/>
  <c r="H93" i="10"/>
  <c r="G93" i="10"/>
  <c r="F93" i="10"/>
  <c r="E93" i="10"/>
  <c r="D93" i="10"/>
  <c r="C93" i="10"/>
  <c r="I92" i="10"/>
  <c r="H92" i="10"/>
  <c r="G92" i="10"/>
  <c r="F92" i="10"/>
  <c r="E92" i="10"/>
  <c r="D92" i="10"/>
  <c r="C92" i="10"/>
  <c r="I91" i="10"/>
  <c r="H91" i="10"/>
  <c r="G91" i="10"/>
  <c r="F91" i="10"/>
  <c r="E91" i="10"/>
  <c r="D91" i="10"/>
  <c r="C91" i="10"/>
  <c r="I89" i="10"/>
  <c r="H89" i="10"/>
  <c r="G89" i="10"/>
  <c r="F89" i="10"/>
  <c r="E89" i="10"/>
  <c r="D89" i="10"/>
  <c r="C89" i="10"/>
  <c r="I85" i="10"/>
  <c r="H85" i="10"/>
  <c r="G85" i="10"/>
  <c r="F85" i="10"/>
  <c r="E85" i="10"/>
  <c r="D85" i="10"/>
  <c r="C85" i="10"/>
  <c r="I84" i="10"/>
  <c r="H84" i="10"/>
  <c r="G84" i="10"/>
  <c r="F84" i="10"/>
  <c r="E84" i="10"/>
  <c r="D84" i="10"/>
  <c r="C84" i="10"/>
  <c r="I83" i="10"/>
  <c r="H83" i="10"/>
  <c r="G83" i="10"/>
  <c r="F83" i="10"/>
  <c r="E83" i="10"/>
  <c r="D83" i="10"/>
  <c r="C83" i="10"/>
  <c r="I82" i="10"/>
  <c r="H82" i="10"/>
  <c r="G82" i="10"/>
  <c r="F82" i="10"/>
  <c r="E82" i="10"/>
  <c r="D82" i="10"/>
  <c r="C82" i="10"/>
  <c r="I81" i="10"/>
  <c r="H81" i="10"/>
  <c r="G81" i="10"/>
  <c r="F81" i="10"/>
  <c r="E81" i="10"/>
  <c r="D81" i="10"/>
  <c r="C81"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6" i="10"/>
  <c r="H76" i="10"/>
  <c r="G76" i="10"/>
  <c r="F76" i="10"/>
  <c r="E76" i="10"/>
  <c r="D76"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E69" i="10"/>
  <c r="D69" i="10"/>
  <c r="C69" i="10"/>
  <c r="I68" i="10"/>
  <c r="H68" i="10"/>
  <c r="G68" i="10"/>
  <c r="F68" i="10"/>
  <c r="E68" i="10"/>
  <c r="D68" i="10"/>
  <c r="C68" i="10"/>
  <c r="I67" i="10"/>
  <c r="H67" i="10"/>
  <c r="G67" i="10"/>
  <c r="F67" i="10"/>
  <c r="E67" i="10"/>
  <c r="D67" i="10"/>
  <c r="C67" i="10"/>
  <c r="I66" i="10"/>
  <c r="H66" i="10"/>
  <c r="G66" i="10"/>
  <c r="F66" i="10"/>
  <c r="E66" i="10"/>
  <c r="D66" i="10"/>
  <c r="C66" i="10"/>
  <c r="I37" i="10"/>
  <c r="J37" i="10"/>
  <c r="H37" i="10"/>
  <c r="G37" i="10"/>
  <c r="F37" i="10"/>
  <c r="E37" i="10"/>
  <c r="D37" i="10"/>
  <c r="C37" i="10"/>
  <c r="I36" i="10"/>
  <c r="J36" i="10"/>
  <c r="H36" i="10"/>
  <c r="G36" i="10"/>
  <c r="F36" i="10"/>
  <c r="E36" i="10"/>
  <c r="D36" i="10"/>
  <c r="C36" i="10"/>
  <c r="I35" i="10"/>
  <c r="J35" i="10"/>
  <c r="H35" i="10"/>
  <c r="G35" i="10"/>
  <c r="F35" i="10"/>
  <c r="E35" i="10"/>
  <c r="D35" i="10"/>
  <c r="C35" i="10"/>
  <c r="I34" i="10"/>
  <c r="J34" i="10"/>
  <c r="H34" i="10"/>
  <c r="G34" i="10"/>
  <c r="F34" i="10"/>
  <c r="E34" i="10"/>
  <c r="D34" i="10"/>
  <c r="C34" i="10"/>
  <c r="I33" i="10"/>
  <c r="J33" i="10"/>
  <c r="H33" i="10"/>
  <c r="G33" i="10"/>
  <c r="F33" i="10"/>
  <c r="E33" i="10"/>
  <c r="D33" i="10"/>
  <c r="C33" i="10"/>
  <c r="I44" i="10"/>
  <c r="J44" i="10"/>
  <c r="H44" i="10"/>
  <c r="G44" i="10"/>
  <c r="F44" i="10"/>
  <c r="E44" i="10"/>
  <c r="D44" i="10"/>
  <c r="C44" i="10"/>
  <c r="I43" i="10"/>
  <c r="J43" i="10"/>
  <c r="H43" i="10"/>
  <c r="G43" i="10"/>
  <c r="F43" i="10"/>
  <c r="E43" i="10"/>
  <c r="D43" i="10"/>
  <c r="C43" i="10"/>
  <c r="I42" i="10"/>
  <c r="J42" i="10"/>
  <c r="H42" i="10"/>
  <c r="G42" i="10"/>
  <c r="F42" i="10"/>
  <c r="E42" i="10"/>
  <c r="D42" i="10"/>
  <c r="C42" i="10"/>
  <c r="I41" i="10"/>
  <c r="J41" i="10"/>
  <c r="H41" i="10"/>
  <c r="G41" i="10"/>
  <c r="F41" i="10"/>
  <c r="E41" i="10"/>
  <c r="D41" i="10"/>
  <c r="C41" i="10"/>
  <c r="I40" i="10"/>
  <c r="J40" i="10"/>
  <c r="H40" i="10"/>
  <c r="G40" i="10"/>
  <c r="F40" i="10"/>
  <c r="E40" i="10"/>
  <c r="D40" i="10"/>
  <c r="C40" i="10"/>
  <c r="I39" i="10"/>
  <c r="J39" i="10"/>
  <c r="H39" i="10"/>
  <c r="G39" i="10"/>
  <c r="F39" i="10"/>
  <c r="E39" i="10"/>
  <c r="D39" i="10"/>
  <c r="C39" i="10"/>
  <c r="I31" i="10"/>
  <c r="H31" i="10"/>
  <c r="G31" i="10"/>
  <c r="F31" i="10"/>
  <c r="E31" i="10"/>
  <c r="D31" i="10"/>
  <c r="C31" i="10"/>
  <c r="I30" i="10"/>
  <c r="H30" i="10"/>
  <c r="G30" i="10"/>
  <c r="F30" i="10"/>
  <c r="E30" i="10"/>
  <c r="D30" i="10"/>
  <c r="C30" i="10"/>
  <c r="I29" i="10"/>
  <c r="H29" i="10"/>
  <c r="G29" i="10"/>
  <c r="F29" i="10"/>
  <c r="E29" i="10"/>
  <c r="D29" i="10"/>
  <c r="C29" i="10"/>
  <c r="I28" i="10"/>
  <c r="H28" i="10"/>
  <c r="G28" i="10"/>
  <c r="F28" i="10"/>
  <c r="E28" i="10"/>
  <c r="D28" i="10"/>
  <c r="C28" i="10"/>
  <c r="I27" i="10"/>
  <c r="H27" i="10"/>
  <c r="G27" i="10"/>
  <c r="F27" i="10"/>
  <c r="E27" i="10"/>
  <c r="D27" i="10"/>
  <c r="C27" i="10"/>
  <c r="A60" i="10" s="1"/>
  <c r="I26" i="10"/>
  <c r="H26" i="10"/>
  <c r="G26" i="10"/>
  <c r="F26" i="10"/>
  <c r="E26" i="10"/>
  <c r="D26" i="10"/>
  <c r="C26" i="10"/>
  <c r="I25" i="10"/>
  <c r="J25" i="10"/>
  <c r="H25" i="10"/>
  <c r="G25" i="10"/>
  <c r="F25" i="10"/>
  <c r="E25" i="10"/>
  <c r="D25" i="10"/>
  <c r="C25" i="10"/>
  <c r="J27" i="10"/>
  <c r="J26" i="10"/>
  <c r="J28" i="10"/>
  <c r="F17" i="2"/>
  <c r="E17" i="2"/>
  <c r="F14" i="2"/>
  <c r="E14" i="2"/>
  <c r="F13" i="2"/>
  <c r="E13" i="2"/>
  <c r="F12" i="2"/>
  <c r="E12" i="2"/>
  <c r="F11" i="2"/>
  <c r="E11" i="2"/>
  <c r="F10" i="2"/>
  <c r="E10" i="2"/>
  <c r="F9" i="2"/>
  <c r="E9" i="2"/>
  <c r="F8" i="2"/>
  <c r="E8" i="2"/>
  <c r="F7" i="2"/>
  <c r="E7" i="2"/>
  <c r="F6" i="2"/>
  <c r="E6" i="2"/>
  <c r="F5" i="2"/>
  <c r="E5" i="2"/>
  <c r="F4" i="2"/>
  <c r="E4" i="2"/>
  <c r="F3" i="2"/>
  <c r="E3" i="2"/>
  <c r="F2" i="2"/>
  <c r="E2" i="2"/>
  <c r="J30" i="10"/>
  <c r="J29" i="10"/>
  <c r="N44" i="20"/>
  <c r="N43" i="20"/>
  <c r="N42" i="20"/>
  <c r="N41" i="20"/>
  <c r="N40" i="20"/>
  <c r="N39" i="20"/>
  <c r="N38" i="20"/>
  <c r="N37" i="20"/>
  <c r="N36" i="20"/>
  <c r="N35" i="20"/>
  <c r="N34" i="20"/>
  <c r="N33" i="20"/>
  <c r="N32" i="20"/>
  <c r="N31" i="20"/>
  <c r="N30" i="20"/>
  <c r="A176" i="18"/>
  <c r="C176" i="18" s="1"/>
  <c r="D39" i="18"/>
  <c r="C39" i="18"/>
  <c r="B39" i="18"/>
  <c r="C288" i="14"/>
  <c r="A288" i="14"/>
  <c r="O21" i="20" s="1"/>
  <c r="H288" i="14"/>
  <c r="D287" i="14"/>
  <c r="C287" i="14"/>
  <c r="A287" i="14"/>
  <c r="D286" i="14"/>
  <c r="C286" i="14"/>
  <c r="A286" i="14"/>
  <c r="F286" i="14" s="1"/>
  <c r="D285" i="14"/>
  <c r="C285" i="14"/>
  <c r="A285" i="14"/>
  <c r="F285" i="14" s="1"/>
  <c r="C284" i="14"/>
  <c r="A284" i="14"/>
  <c r="H284" i="14" s="1"/>
  <c r="C283" i="14"/>
  <c r="A283" i="14"/>
  <c r="H283" i="14" s="1"/>
  <c r="C282" i="14"/>
  <c r="A282" i="14"/>
  <c r="H282" i="14" s="1"/>
  <c r="D281" i="14"/>
  <c r="C281" i="14"/>
  <c r="A281" i="14"/>
  <c r="F281" i="14" s="1"/>
  <c r="D280" i="14"/>
  <c r="C280" i="14"/>
  <c r="A280" i="14"/>
  <c r="D279" i="14"/>
  <c r="C279" i="14"/>
  <c r="D278" i="14"/>
  <c r="C278" i="14"/>
  <c r="D277" i="14"/>
  <c r="C277" i="14"/>
  <c r="D275" i="14"/>
  <c r="C275" i="14"/>
  <c r="D274" i="14"/>
  <c r="C274" i="14"/>
  <c r="D273" i="14"/>
  <c r="C273" i="14"/>
  <c r="D272" i="14"/>
  <c r="C272" i="14"/>
  <c r="D271" i="14"/>
  <c r="C271" i="14"/>
  <c r="D270" i="14"/>
  <c r="C270" i="14"/>
  <c r="D268" i="14"/>
  <c r="C268" i="14"/>
  <c r="D267" i="14"/>
  <c r="C267" i="14"/>
  <c r="D266" i="14"/>
  <c r="C266" i="14"/>
  <c r="D265" i="14"/>
  <c r="C265" i="14"/>
  <c r="D264" i="14"/>
  <c r="C264" i="14"/>
  <c r="D263" i="14"/>
  <c r="C263" i="14"/>
  <c r="D262" i="14"/>
  <c r="C262" i="14"/>
  <c r="D261" i="14"/>
  <c r="C261" i="14"/>
  <c r="D260" i="14"/>
  <c r="C260" i="14"/>
  <c r="D259" i="14"/>
  <c r="C259" i="14"/>
  <c r="D258" i="14"/>
  <c r="C258" i="14"/>
  <c r="D257" i="14"/>
  <c r="C257" i="14"/>
  <c r="D256" i="14"/>
  <c r="C256" i="14"/>
  <c r="D255" i="14"/>
  <c r="C255" i="14"/>
  <c r="D254" i="14"/>
  <c r="C254" i="14"/>
  <c r="D253" i="14"/>
  <c r="C253" i="14"/>
  <c r="D252" i="14"/>
  <c r="C252" i="14"/>
  <c r="D251" i="14"/>
  <c r="C251" i="14"/>
  <c r="D250" i="14"/>
  <c r="C250" i="14"/>
  <c r="D249" i="14"/>
  <c r="C249" i="14"/>
  <c r="D248" i="14"/>
  <c r="C248" i="14"/>
  <c r="D247" i="14"/>
  <c r="C247" i="14"/>
  <c r="D243" i="14"/>
  <c r="C243" i="14"/>
  <c r="D242" i="14"/>
  <c r="C242" i="14"/>
  <c r="D241" i="14"/>
  <c r="C241" i="14"/>
  <c r="D240" i="14"/>
  <c r="C240" i="14"/>
  <c r="D238" i="14"/>
  <c r="C238" i="14"/>
  <c r="D237" i="14"/>
  <c r="C237" i="14"/>
  <c r="D236" i="14"/>
  <c r="C236" i="14"/>
  <c r="D235" i="14"/>
  <c r="C235" i="14"/>
  <c r="D229" i="14"/>
  <c r="C229" i="14"/>
  <c r="D227" i="14"/>
  <c r="C227" i="14"/>
  <c r="D226" i="14"/>
  <c r="C226" i="14"/>
  <c r="D225" i="14"/>
  <c r="C225" i="14"/>
  <c r="D224" i="14"/>
  <c r="C224" i="14"/>
  <c r="D223" i="14"/>
  <c r="C223" i="14"/>
  <c r="D222" i="14"/>
  <c r="C222" i="14"/>
  <c r="D221" i="14"/>
  <c r="C221" i="14"/>
  <c r="D220" i="14"/>
  <c r="C220" i="14"/>
  <c r="D219" i="14"/>
  <c r="C219" i="14"/>
  <c r="D218" i="14"/>
  <c r="C218" i="14"/>
  <c r="D217" i="14"/>
  <c r="C217" i="14"/>
  <c r="D216" i="14"/>
  <c r="C216" i="14"/>
  <c r="D215" i="14"/>
  <c r="C215" i="14"/>
  <c r="D214" i="14"/>
  <c r="C214" i="14"/>
  <c r="D213" i="14"/>
  <c r="C213" i="14"/>
  <c r="D212" i="14"/>
  <c r="C212" i="14"/>
  <c r="D208" i="14"/>
  <c r="C208" i="14"/>
  <c r="D207" i="14"/>
  <c r="C207" i="14"/>
  <c r="D206" i="14"/>
  <c r="C206" i="14"/>
  <c r="D205" i="14"/>
  <c r="C205" i="14"/>
  <c r="D204" i="14"/>
  <c r="C204" i="14"/>
  <c r="D203" i="14"/>
  <c r="C203" i="14"/>
  <c r="D201" i="14"/>
  <c r="C201" i="14"/>
  <c r="D200" i="14"/>
  <c r="C200" i="14"/>
  <c r="D198" i="14"/>
  <c r="C198" i="14"/>
  <c r="D197" i="14"/>
  <c r="C197" i="14"/>
  <c r="C196" i="14"/>
  <c r="D195" i="14"/>
  <c r="C195" i="14"/>
  <c r="D194" i="14"/>
  <c r="C194" i="14"/>
  <c r="D193" i="14"/>
  <c r="C193" i="14"/>
  <c r="D192" i="14"/>
  <c r="C192" i="14"/>
  <c r="D191" i="14"/>
  <c r="C191" i="14"/>
  <c r="D190" i="14"/>
  <c r="C190" i="14"/>
  <c r="D189" i="14"/>
  <c r="C189" i="14"/>
  <c r="C188" i="14"/>
  <c r="D186" i="14"/>
  <c r="C186" i="14"/>
  <c r="C181" i="14"/>
  <c r="D180" i="14"/>
  <c r="C180" i="14"/>
  <c r="C179" i="14"/>
  <c r="D178" i="14"/>
  <c r="C178" i="14"/>
  <c r="D177" i="14"/>
  <c r="C177" i="14"/>
  <c r="D175" i="14"/>
  <c r="C175" i="14"/>
  <c r="D174" i="14"/>
  <c r="C174" i="14"/>
  <c r="D173" i="14"/>
  <c r="C173" i="14"/>
  <c r="D172" i="14"/>
  <c r="C172" i="14"/>
  <c r="D171" i="14"/>
  <c r="C171" i="14"/>
  <c r="D170" i="14"/>
  <c r="C170" i="14"/>
  <c r="D168" i="14"/>
  <c r="C168" i="14"/>
  <c r="D167" i="14"/>
  <c r="C167" i="14"/>
  <c r="D166" i="14"/>
  <c r="C166" i="14"/>
  <c r="D165" i="14"/>
  <c r="C165" i="14"/>
  <c r="D164" i="14"/>
  <c r="C164" i="14"/>
  <c r="D163" i="14"/>
  <c r="C163" i="14"/>
  <c r="D162" i="14"/>
  <c r="C162" i="14"/>
  <c r="D161" i="14"/>
  <c r="C161" i="14"/>
  <c r="D159" i="14"/>
  <c r="C159" i="14"/>
  <c r="D157" i="14"/>
  <c r="C157" i="14"/>
  <c r="D156" i="14"/>
  <c r="C156" i="14"/>
  <c r="D155" i="14"/>
  <c r="C155" i="14"/>
  <c r="D154" i="14"/>
  <c r="C154" i="14"/>
  <c r="D153" i="14"/>
  <c r="C153" i="14"/>
  <c r="D152" i="14"/>
  <c r="C152" i="14"/>
  <c r="D150" i="14"/>
  <c r="C150" i="14"/>
  <c r="D149" i="14"/>
  <c r="C149" i="14"/>
  <c r="D148" i="14"/>
  <c r="C148" i="14"/>
  <c r="D147" i="14"/>
  <c r="C147" i="14"/>
  <c r="D146" i="14"/>
  <c r="C146" i="14"/>
  <c r="D145" i="14"/>
  <c r="C145" i="14"/>
  <c r="D140" i="14"/>
  <c r="C140" i="14"/>
  <c r="D139" i="14"/>
  <c r="C139" i="14"/>
  <c r="D138" i="14"/>
  <c r="C138" i="14"/>
  <c r="D137" i="14"/>
  <c r="C137" i="14"/>
  <c r="D136" i="14"/>
  <c r="C136" i="14"/>
  <c r="D132" i="14"/>
  <c r="C132" i="14"/>
  <c r="D131" i="14"/>
  <c r="C131" i="14"/>
  <c r="C130" i="14"/>
  <c r="D129" i="14"/>
  <c r="C129" i="14"/>
  <c r="D127" i="14"/>
  <c r="C127" i="14"/>
  <c r="D126" i="14"/>
  <c r="C126" i="14"/>
  <c r="D125" i="14"/>
  <c r="C125" i="14"/>
  <c r="D124" i="14"/>
  <c r="C124" i="14"/>
  <c r="D123" i="14"/>
  <c r="C123" i="14"/>
  <c r="D122" i="14"/>
  <c r="C122" i="14"/>
  <c r="D121" i="14"/>
  <c r="C121" i="14"/>
  <c r="D120" i="14"/>
  <c r="C120" i="14"/>
  <c r="D119" i="14"/>
  <c r="C119" i="14"/>
  <c r="D118" i="14"/>
  <c r="C118" i="14"/>
  <c r="H281" i="14"/>
  <c r="H286" i="14"/>
  <c r="D114" i="14"/>
  <c r="C114" i="14"/>
  <c r="D111" i="14"/>
  <c r="C111" i="14"/>
  <c r="D110" i="14"/>
  <c r="C110" i="14"/>
  <c r="D109" i="14"/>
  <c r="C109" i="14"/>
  <c r="D108" i="14"/>
  <c r="C108" i="14"/>
  <c r="D107" i="14"/>
  <c r="C107" i="14"/>
  <c r="D106" i="14"/>
  <c r="C106" i="14"/>
  <c r="D105" i="14"/>
  <c r="C105" i="14"/>
  <c r="D104" i="14"/>
  <c r="C104" i="14"/>
  <c r="D103" i="14"/>
  <c r="C103" i="14"/>
  <c r="D102" i="14"/>
  <c r="C102" i="14"/>
  <c r="D101" i="14"/>
  <c r="C101" i="14"/>
  <c r="D100" i="14"/>
  <c r="C100" i="14"/>
  <c r="D99" i="14"/>
  <c r="C99" i="14"/>
  <c r="D98" i="14"/>
  <c r="C98" i="14"/>
  <c r="D90" i="14"/>
  <c r="C90" i="14"/>
  <c r="C89" i="14"/>
  <c r="D88" i="14"/>
  <c r="C88" i="14"/>
  <c r="D87" i="14"/>
  <c r="C87" i="14"/>
  <c r="D86" i="14"/>
  <c r="C86" i="14"/>
  <c r="D85" i="14"/>
  <c r="C85" i="14"/>
  <c r="D84" i="14"/>
  <c r="C84" i="14"/>
  <c r="D83" i="14"/>
  <c r="C83" i="14"/>
  <c r="D81" i="14"/>
  <c r="D80" i="14"/>
  <c r="D79" i="14"/>
  <c r="D78" i="14"/>
  <c r="D77" i="14"/>
  <c r="D76" i="14"/>
  <c r="D75" i="14"/>
  <c r="D74" i="14"/>
  <c r="D73" i="14"/>
  <c r="D71" i="14"/>
  <c r="D67" i="14"/>
  <c r="C81" i="14"/>
  <c r="C80" i="14"/>
  <c r="C79" i="14"/>
  <c r="C78" i="14"/>
  <c r="C77" i="14"/>
  <c r="C76" i="14"/>
  <c r="C75" i="14"/>
  <c r="C74" i="14"/>
  <c r="C73" i="14"/>
  <c r="C71" i="14"/>
  <c r="C69" i="14"/>
  <c r="C68" i="14"/>
  <c r="C67" i="14"/>
  <c r="A38" i="14"/>
  <c r="A279" i="14"/>
  <c r="F279" i="14" s="1"/>
  <c r="A278" i="14"/>
  <c r="F278" i="14" s="1"/>
  <c r="A277" i="14"/>
  <c r="A275" i="14"/>
  <c r="F275" i="14" s="1"/>
  <c r="A274" i="14"/>
  <c r="F274" i="14" s="1"/>
  <c r="A273" i="14"/>
  <c r="H273" i="14" s="1"/>
  <c r="A272" i="14"/>
  <c r="F272" i="14" s="1"/>
  <c r="A271" i="14"/>
  <c r="F271" i="14" s="1"/>
  <c r="A270" i="14"/>
  <c r="F270" i="14" s="1"/>
  <c r="A269" i="14"/>
  <c r="F269" i="14" s="1"/>
  <c r="A268" i="14"/>
  <c r="F268" i="14"/>
  <c r="A267" i="14"/>
  <c r="H267" i="14" s="1"/>
  <c r="A266" i="14"/>
  <c r="F266" i="14" s="1"/>
  <c r="A265" i="14"/>
  <c r="F265" i="14"/>
  <c r="A264" i="14"/>
  <c r="F264" i="14" s="1"/>
  <c r="A263" i="14"/>
  <c r="F263" i="14" s="1"/>
  <c r="A262" i="14"/>
  <c r="F262" i="14" s="1"/>
  <c r="A261" i="14"/>
  <c r="H261" i="14" s="1"/>
  <c r="A260" i="14"/>
  <c r="F260" i="14" s="1"/>
  <c r="A259" i="14"/>
  <c r="F259" i="14"/>
  <c r="A258" i="14"/>
  <c r="F258" i="14" s="1"/>
  <c r="A257" i="14"/>
  <c r="F257" i="14" s="1"/>
  <c r="A256" i="14"/>
  <c r="H256" i="14" s="1"/>
  <c r="F256" i="14"/>
  <c r="A255" i="14"/>
  <c r="A254" i="14"/>
  <c r="H254" i="14" s="1"/>
  <c r="A253" i="14"/>
  <c r="H253" i="14" s="1"/>
  <c r="A252" i="14"/>
  <c r="F252" i="14"/>
  <c r="A251" i="14"/>
  <c r="F251" i="14" s="1"/>
  <c r="A250" i="14"/>
  <c r="H250" i="14" s="1"/>
  <c r="A249" i="14"/>
  <c r="F249" i="14"/>
  <c r="A248" i="14"/>
  <c r="F248" i="14" s="1"/>
  <c r="A247" i="14"/>
  <c r="H247" i="14" s="1"/>
  <c r="A245" i="14"/>
  <c r="F245" i="14"/>
  <c r="A244" i="14"/>
  <c r="F244" i="14" s="1"/>
  <c r="A243" i="14"/>
  <c r="F243" i="14"/>
  <c r="A242" i="14"/>
  <c r="F242" i="14" s="1"/>
  <c r="A241" i="14"/>
  <c r="F241" i="14"/>
  <c r="A240" i="14"/>
  <c r="H240" i="14" s="1"/>
  <c r="A238" i="14"/>
  <c r="H238" i="14" s="1"/>
  <c r="A237" i="14"/>
  <c r="F237" i="14" s="1"/>
  <c r="A236" i="14"/>
  <c r="F236" i="14"/>
  <c r="A235" i="14"/>
  <c r="F235" i="14"/>
  <c r="A234" i="14"/>
  <c r="F234" i="14" s="1"/>
  <c r="A229" i="14"/>
  <c r="H229" i="14" s="1"/>
  <c r="A227" i="14"/>
  <c r="H227" i="14" s="1"/>
  <c r="A226" i="14"/>
  <c r="A225" i="14"/>
  <c r="H225" i="14" s="1"/>
  <c r="A224" i="14"/>
  <c r="H224" i="14" s="1"/>
  <c r="F224" i="14"/>
  <c r="A223" i="14"/>
  <c r="H223" i="14" s="1"/>
  <c r="A222" i="14"/>
  <c r="F222" i="14" s="1"/>
  <c r="A221" i="14"/>
  <c r="F221" i="14"/>
  <c r="A220" i="14"/>
  <c r="F220" i="14" s="1"/>
  <c r="A219" i="14"/>
  <c r="F219" i="14"/>
  <c r="A218" i="14"/>
  <c r="F218" i="14" s="1"/>
  <c r="A217" i="14"/>
  <c r="H217" i="14" s="1"/>
  <c r="A216" i="14"/>
  <c r="H216" i="14" s="1"/>
  <c r="A215" i="14"/>
  <c r="F215" i="14" s="1"/>
  <c r="A214" i="14"/>
  <c r="F214" i="14" s="1"/>
  <c r="A213" i="14"/>
  <c r="F213" i="14" s="1"/>
  <c r="A212" i="14"/>
  <c r="F212" i="14"/>
  <c r="A210" i="14"/>
  <c r="F210" i="14" s="1"/>
  <c r="A209" i="14"/>
  <c r="F209" i="14" s="1"/>
  <c r="A208" i="14"/>
  <c r="F208" i="14" s="1"/>
  <c r="A207" i="14"/>
  <c r="F207" i="14"/>
  <c r="A206" i="14"/>
  <c r="F206" i="14" s="1"/>
  <c r="A205" i="14"/>
  <c r="F205" i="14" s="1"/>
  <c r="A204" i="14"/>
  <c r="H204" i="14" s="1"/>
  <c r="A203" i="14"/>
  <c r="H203" i="14" s="1"/>
  <c r="A201" i="14"/>
  <c r="A200" i="14"/>
  <c r="F200" i="14" s="1"/>
  <c r="A198" i="14"/>
  <c r="H198" i="14" s="1"/>
  <c r="F198" i="14"/>
  <c r="A197" i="14"/>
  <c r="H197" i="14" s="1"/>
  <c r="A196" i="14"/>
  <c r="H196" i="14" s="1"/>
  <c r="A195" i="14"/>
  <c r="H195" i="14" s="1"/>
  <c r="A194" i="14"/>
  <c r="F194" i="14"/>
  <c r="A193" i="14"/>
  <c r="F193" i="14"/>
  <c r="A192" i="14"/>
  <c r="F192" i="14" s="1"/>
  <c r="A191" i="14"/>
  <c r="F191" i="14" s="1"/>
  <c r="A190" i="14"/>
  <c r="F190" i="14" s="1"/>
  <c r="A189" i="14"/>
  <c r="F189" i="14"/>
  <c r="A188" i="14"/>
  <c r="A186" i="14"/>
  <c r="H186" i="14" s="1"/>
  <c r="A182" i="14"/>
  <c r="F182" i="14" s="1"/>
  <c r="A181" i="14"/>
  <c r="F181" i="14" s="1"/>
  <c r="A180" i="14"/>
  <c r="H180" i="14" s="1"/>
  <c r="F180" i="14"/>
  <c r="A179" i="14"/>
  <c r="A178" i="14"/>
  <c r="H178" i="14" s="1"/>
  <c r="A177" i="14"/>
  <c r="F177" i="14" s="1"/>
  <c r="A176" i="14"/>
  <c r="H176" i="14" s="1"/>
  <c r="A175" i="14"/>
  <c r="F175" i="14" s="1"/>
  <c r="A174" i="14"/>
  <c r="A173" i="14"/>
  <c r="H173" i="14" s="1"/>
  <c r="A172" i="14"/>
  <c r="A171" i="14"/>
  <c r="H171" i="14" s="1"/>
  <c r="A170" i="14"/>
  <c r="F170" i="14"/>
  <c r="A168" i="14"/>
  <c r="F168" i="14" s="1"/>
  <c r="A167" i="14"/>
  <c r="F167" i="14" s="1"/>
  <c r="A166" i="14"/>
  <c r="F166" i="14"/>
  <c r="A165" i="14"/>
  <c r="F165" i="14" s="1"/>
  <c r="A164" i="14"/>
  <c r="H164" i="14" s="1"/>
  <c r="A163" i="14"/>
  <c r="F163" i="14" s="1"/>
  <c r="A162" i="14"/>
  <c r="H162" i="14" s="1"/>
  <c r="F162" i="14"/>
  <c r="A161" i="14"/>
  <c r="F161" i="14" s="1"/>
  <c r="A160" i="14"/>
  <c r="F160" i="14" s="1"/>
  <c r="H160" i="14"/>
  <c r="A159" i="14"/>
  <c r="F159" i="14" s="1"/>
  <c r="A158" i="14"/>
  <c r="F158" i="14" s="1"/>
  <c r="A157" i="14"/>
  <c r="H157" i="14" s="1"/>
  <c r="A156" i="14"/>
  <c r="F156" i="14" s="1"/>
  <c r="A155" i="14"/>
  <c r="F155" i="14" s="1"/>
  <c r="A154" i="14"/>
  <c r="F154" i="14" s="1"/>
  <c r="A153" i="14"/>
  <c r="F153" i="14"/>
  <c r="A152" i="14"/>
  <c r="H152" i="14" s="1"/>
  <c r="A151" i="14"/>
  <c r="A150" i="14"/>
  <c r="H150" i="14" s="1"/>
  <c r="F150" i="14"/>
  <c r="A149" i="14"/>
  <c r="F149" i="14" s="1"/>
  <c r="A148" i="14"/>
  <c r="F148" i="14"/>
  <c r="A147" i="14"/>
  <c r="F147" i="14" s="1"/>
  <c r="A146" i="14"/>
  <c r="H146" i="14" s="1"/>
  <c r="F146" i="14"/>
  <c r="A145" i="14"/>
  <c r="H145" i="14" s="1"/>
  <c r="A140" i="14"/>
  <c r="F140" i="14" s="1"/>
  <c r="A139" i="14"/>
  <c r="F139" i="14" s="1"/>
  <c r="A138" i="14"/>
  <c r="F138" i="14" s="1"/>
  <c r="A137" i="14"/>
  <c r="H137" i="14" s="1"/>
  <c r="F137" i="14"/>
  <c r="A136" i="14"/>
  <c r="H136" i="14" s="1"/>
  <c r="A135" i="14"/>
  <c r="F135" i="14" s="1"/>
  <c r="A134" i="14"/>
  <c r="H134" i="14" s="1"/>
  <c r="A133" i="14"/>
  <c r="A132" i="14"/>
  <c r="F132" i="14"/>
  <c r="A131" i="14"/>
  <c r="H131" i="14" s="1"/>
  <c r="A130" i="14"/>
  <c r="H130" i="14" s="1"/>
  <c r="A129" i="14"/>
  <c r="F129" i="14" s="1"/>
  <c r="A127" i="14"/>
  <c r="F127" i="14" s="1"/>
  <c r="A126" i="14"/>
  <c r="A125" i="14"/>
  <c r="F125" i="14" s="1"/>
  <c r="A124" i="14"/>
  <c r="F124" i="14" s="1"/>
  <c r="A123" i="14"/>
  <c r="F123" i="14" s="1"/>
  <c r="A122" i="14"/>
  <c r="F122" i="14" s="1"/>
  <c r="A121" i="14"/>
  <c r="H121" i="14" s="1"/>
  <c r="F121" i="14"/>
  <c r="A120" i="14"/>
  <c r="F120" i="14" s="1"/>
  <c r="A119" i="14"/>
  <c r="F119" i="14"/>
  <c r="A118" i="14"/>
  <c r="H118" i="14" s="1"/>
  <c r="A114" i="14"/>
  <c r="A111" i="14"/>
  <c r="F111" i="14" s="1"/>
  <c r="A110" i="14"/>
  <c r="F110" i="14" s="1"/>
  <c r="A109" i="14"/>
  <c r="H109" i="14" s="1"/>
  <c r="F109" i="14"/>
  <c r="A108" i="14"/>
  <c r="F108" i="14" s="1"/>
  <c r="A107" i="14"/>
  <c r="F107" i="14" s="1"/>
  <c r="A106" i="14"/>
  <c r="F106" i="14" s="1"/>
  <c r="A105" i="14"/>
  <c r="H105" i="14" s="1"/>
  <c r="F105" i="14"/>
  <c r="A104" i="14"/>
  <c r="F104" i="14" s="1"/>
  <c r="A103" i="14"/>
  <c r="H103" i="14" s="1"/>
  <c r="A102" i="14"/>
  <c r="H102" i="14" s="1"/>
  <c r="F102" i="14"/>
  <c r="A101" i="14"/>
  <c r="F101" i="14" s="1"/>
  <c r="A100" i="14"/>
  <c r="F100" i="14" s="1"/>
  <c r="A99" i="14"/>
  <c r="H99" i="14" s="1"/>
  <c r="F99" i="14"/>
  <c r="A98" i="14"/>
  <c r="A92" i="14"/>
  <c r="H92" i="14" s="1"/>
  <c r="A91" i="14"/>
  <c r="H91" i="14" s="1"/>
  <c r="A90" i="14"/>
  <c r="H90" i="14" s="1"/>
  <c r="F90" i="14"/>
  <c r="A89" i="14"/>
  <c r="F89" i="14" s="1"/>
  <c r="A88" i="14"/>
  <c r="F88" i="14" s="1"/>
  <c r="A87" i="14"/>
  <c r="H87" i="14" s="1"/>
  <c r="A86" i="14"/>
  <c r="F86" i="14" s="1"/>
  <c r="A85" i="14"/>
  <c r="F85" i="14" s="1"/>
  <c r="A84" i="14"/>
  <c r="F84" i="14" s="1"/>
  <c r="A83" i="14"/>
  <c r="H83" i="14" s="1"/>
  <c r="F83" i="14"/>
  <c r="A81" i="14"/>
  <c r="F81" i="14" s="1"/>
  <c r="A80" i="14"/>
  <c r="F80" i="14" s="1"/>
  <c r="A79" i="14"/>
  <c r="H80" i="14" s="1"/>
  <c r="A78" i="14"/>
  <c r="F78" i="14" s="1"/>
  <c r="A77" i="14"/>
  <c r="H78" i="14" s="1"/>
  <c r="F77" i="14"/>
  <c r="A76" i="14"/>
  <c r="F76" i="14" s="1"/>
  <c r="A75" i="14"/>
  <c r="H76" i="14" s="1"/>
  <c r="A74" i="14"/>
  <c r="F74" i="14" s="1"/>
  <c r="A73" i="14"/>
  <c r="F73" i="14"/>
  <c r="A71" i="14"/>
  <c r="F71" i="14" s="1"/>
  <c r="A69" i="14"/>
  <c r="A68" i="14"/>
  <c r="H70" i="14" s="1"/>
  <c r="A67" i="14"/>
  <c r="H68" i="14" s="1"/>
  <c r="A43" i="14"/>
  <c r="H43" i="14" s="1"/>
  <c r="A42" i="14"/>
  <c r="H42" i="14" s="1"/>
  <c r="A41" i="14"/>
  <c r="A40" i="14"/>
  <c r="H40" i="14" s="1"/>
  <c r="B53" i="1"/>
  <c r="B51" i="10" s="1"/>
  <c r="B51" i="1"/>
  <c r="B49" i="10" s="1"/>
  <c r="B50" i="1"/>
  <c r="B48" i="10" s="1"/>
  <c r="B49" i="1"/>
  <c r="B53" i="14" s="1"/>
  <c r="B48" i="1"/>
  <c r="B46" i="10" s="1"/>
  <c r="B47" i="1"/>
  <c r="B45" i="10" s="1"/>
  <c r="B46" i="1"/>
  <c r="B44" i="10" s="1"/>
  <c r="A39" i="14"/>
  <c r="N18" i="20"/>
  <c r="K235" i="20" s="1"/>
  <c r="H133" i="14"/>
  <c r="F133" i="14"/>
  <c r="O47" i="20"/>
  <c r="O29" i="20"/>
  <c r="O26" i="20"/>
  <c r="O41" i="20"/>
  <c r="F130" i="14"/>
  <c r="F35" i="1"/>
  <c r="F51" i="1"/>
  <c r="F47" i="1"/>
  <c r="F41" i="1"/>
  <c r="J100" i="14"/>
  <c r="F98" i="14"/>
  <c r="H234" i="14"/>
  <c r="F176" i="14"/>
  <c r="H269" i="14"/>
  <c r="H245" i="14"/>
  <c r="H140" i="14"/>
  <c r="H148" i="14"/>
  <c r="H268" i="14"/>
  <c r="H119" i="14"/>
  <c r="H123" i="14"/>
  <c r="H127" i="14"/>
  <c r="H129" i="14"/>
  <c r="H141" i="14"/>
  <c r="H149" i="14"/>
  <c r="H153" i="14"/>
  <c r="H161" i="14"/>
  <c r="H165" i="14"/>
  <c r="H170" i="14"/>
  <c r="H182" i="14"/>
  <c r="H188" i="14"/>
  <c r="H192" i="14"/>
  <c r="H219" i="14"/>
  <c r="H237" i="14"/>
  <c r="H244" i="14"/>
  <c r="H249" i="14"/>
  <c r="H257" i="14"/>
  <c r="H265" i="14"/>
  <c r="H279" i="14"/>
  <c r="H71" i="14"/>
  <c r="H86" i="14"/>
  <c r="H100" i="14"/>
  <c r="H104" i="14"/>
  <c r="F118" i="14"/>
  <c r="H132" i="14"/>
  <c r="H205" i="14"/>
  <c r="H222" i="14"/>
  <c r="H248" i="14"/>
  <c r="H260" i="14"/>
  <c r="H272" i="14"/>
  <c r="H98" i="14"/>
  <c r="H110" i="14"/>
  <c r="H120" i="14"/>
  <c r="H124" i="14"/>
  <c r="H138" i="14"/>
  <c r="H142" i="14"/>
  <c r="H166" i="14"/>
  <c r="H189" i="14"/>
  <c r="H193" i="14"/>
  <c r="H207" i="14"/>
  <c r="H212" i="14"/>
  <c r="H241" i="14"/>
  <c r="H258" i="14"/>
  <c r="H262" i="14"/>
  <c r="H266" i="14"/>
  <c r="H270" i="14"/>
  <c r="H274" i="14"/>
  <c r="H236" i="14"/>
  <c r="H243" i="14"/>
  <c r="H252" i="14"/>
  <c r="H264" i="14"/>
  <c r="H278" i="14"/>
  <c r="H69" i="14"/>
  <c r="H74" i="14"/>
  <c r="H107" i="14"/>
  <c r="H139" i="14"/>
  <c r="H155" i="14"/>
  <c r="H167" i="14"/>
  <c r="H190" i="14"/>
  <c r="H194" i="14"/>
  <c r="H200" i="14"/>
  <c r="H208" i="14"/>
  <c r="H213" i="14"/>
  <c r="H221" i="14"/>
  <c r="H235" i="14"/>
  <c r="H242" i="14"/>
  <c r="H259" i="14"/>
  <c r="H271" i="14"/>
  <c r="H275" i="14"/>
  <c r="D43" i="14"/>
  <c r="C43" i="14"/>
  <c r="D42" i="14"/>
  <c r="C42" i="14"/>
  <c r="D41" i="14"/>
  <c r="C41" i="14"/>
  <c r="C39" i="14"/>
  <c r="B174" i="1"/>
  <c r="B178" i="14" s="1"/>
  <c r="B173" i="1"/>
  <c r="B177" i="14" s="1"/>
  <c r="B172" i="1"/>
  <c r="B171" i="1"/>
  <c r="B175" i="14" s="1"/>
  <c r="B170" i="1"/>
  <c r="B169" i="1"/>
  <c r="B168" i="1"/>
  <c r="B172" i="14" s="1"/>
  <c r="B167" i="1"/>
  <c r="B166" i="1"/>
  <c r="B164" i="1"/>
  <c r="B168" i="14" s="1"/>
  <c r="B163" i="1"/>
  <c r="B167" i="14" s="1"/>
  <c r="B162" i="1"/>
  <c r="B166" i="14" s="1"/>
  <c r="B161" i="1"/>
  <c r="B165" i="14" s="1"/>
  <c r="B160" i="1"/>
  <c r="B159" i="1"/>
  <c r="B163" i="14" s="1"/>
  <c r="B158" i="1"/>
  <c r="B162" i="14" s="1"/>
  <c r="B157" i="1"/>
  <c r="B161" i="14" s="1"/>
  <c r="B156" i="1"/>
  <c r="B160" i="14" s="1"/>
  <c r="B155" i="1"/>
  <c r="B159" i="14" s="1"/>
  <c r="B154" i="1"/>
  <c r="B153" i="1"/>
  <c r="B157" i="14" s="1"/>
  <c r="B152" i="1"/>
  <c r="B151" i="1"/>
  <c r="B155" i="14" s="1"/>
  <c r="B150" i="1"/>
  <c r="B154" i="14" s="1"/>
  <c r="B149" i="1"/>
  <c r="B153" i="14" s="1"/>
  <c r="B148" i="1"/>
  <c r="B147" i="1"/>
  <c r="B151" i="14" s="1"/>
  <c r="B146" i="1"/>
  <c r="B145" i="1"/>
  <c r="B149" i="14"/>
  <c r="B144" i="1"/>
  <c r="B143" i="1"/>
  <c r="B147" i="14" s="1"/>
  <c r="B142" i="1"/>
  <c r="B141" i="1"/>
  <c r="B136" i="1"/>
  <c r="B140" i="14" s="1"/>
  <c r="B135" i="1"/>
  <c r="B134" i="1"/>
  <c r="B133" i="1"/>
  <c r="B137" i="14" s="1"/>
  <c r="B132" i="1"/>
  <c r="B131" i="1"/>
  <c r="B135" i="14" s="1"/>
  <c r="B130" i="1"/>
  <c r="B129" i="1"/>
  <c r="B133" i="14" s="1"/>
  <c r="B128" i="1"/>
  <c r="B132" i="14" s="1"/>
  <c r="B127" i="1"/>
  <c r="B126" i="1"/>
  <c r="B125" i="1"/>
  <c r="B123" i="1"/>
  <c r="B127" i="14" s="1"/>
  <c r="B122" i="1"/>
  <c r="B119" i="10" s="1"/>
  <c r="B121" i="1"/>
  <c r="B125" i="14" s="1"/>
  <c r="B120" i="1"/>
  <c r="B124" i="14" s="1"/>
  <c r="B119" i="1"/>
  <c r="B118" i="1"/>
  <c r="B122" i="14" s="1"/>
  <c r="B117" i="1"/>
  <c r="B121" i="14" s="1"/>
  <c r="B116" i="1"/>
  <c r="B120" i="14" s="1"/>
  <c r="B115" i="1"/>
  <c r="B114" i="1"/>
  <c r="B118" i="14" s="1"/>
  <c r="B111" i="1"/>
  <c r="B110" i="1"/>
  <c r="B107" i="1"/>
  <c r="B106" i="1"/>
  <c r="B110" i="14" s="1"/>
  <c r="B105" i="1"/>
  <c r="B109" i="14" s="1"/>
  <c r="B104" i="1"/>
  <c r="B108" i="14" s="1"/>
  <c r="B103" i="1"/>
  <c r="B102" i="1"/>
  <c r="B101" i="1"/>
  <c r="B105" i="14" s="1"/>
  <c r="B100" i="1"/>
  <c r="B97" i="10" s="1"/>
  <c r="B99" i="1"/>
  <c r="B98" i="1"/>
  <c r="B102" i="14" s="1"/>
  <c r="B97" i="1"/>
  <c r="B101" i="14" s="1"/>
  <c r="B96" i="1"/>
  <c r="B100" i="14" s="1"/>
  <c r="B95" i="1"/>
  <c r="B94" i="1"/>
  <c r="B88" i="1"/>
  <c r="B92" i="14" s="1"/>
  <c r="B87" i="1"/>
  <c r="B91" i="14" s="1"/>
  <c r="B86" i="1"/>
  <c r="B90" i="14" s="1"/>
  <c r="B85" i="1"/>
  <c r="B89" i="14" s="1"/>
  <c r="B84" i="1"/>
  <c r="B88" i="14" s="1"/>
  <c r="B83" i="1"/>
  <c r="B82" i="1"/>
  <c r="B86" i="14" s="1"/>
  <c r="B81" i="1"/>
  <c r="B80" i="1"/>
  <c r="B84" i="14" s="1"/>
  <c r="B79" i="1"/>
  <c r="B83" i="14" s="1"/>
  <c r="B77" i="1"/>
  <c r="B81" i="14" s="1"/>
  <c r="B76" i="1"/>
  <c r="B75" i="1"/>
  <c r="B74" i="1"/>
  <c r="B78" i="14" s="1"/>
  <c r="B73" i="1"/>
  <c r="B77" i="14" s="1"/>
  <c r="B72" i="1"/>
  <c r="B76" i="14" s="1"/>
  <c r="B71" i="1"/>
  <c r="B75" i="14" s="1"/>
  <c r="B70" i="1"/>
  <c r="B74" i="14" s="1"/>
  <c r="B69" i="1"/>
  <c r="B73" i="14" s="1"/>
  <c r="B67" i="1"/>
  <c r="B71" i="14" s="1"/>
  <c r="B65" i="1"/>
  <c r="B64" i="1"/>
  <c r="B63" i="1"/>
  <c r="B45" i="1"/>
  <c r="B43" i="10" s="1"/>
  <c r="B44" i="1"/>
  <c r="B43" i="1"/>
  <c r="B42" i="1"/>
  <c r="B46" i="14" s="1"/>
  <c r="B41" i="1"/>
  <c r="B39" i="10" s="1"/>
  <c r="B32" i="1"/>
  <c r="B30" i="10" s="1"/>
  <c r="B31" i="1"/>
  <c r="B29" i="10" s="1"/>
  <c r="B30" i="1"/>
  <c r="B28" i="10" s="1"/>
  <c r="B29" i="1"/>
  <c r="B27" i="10" s="1"/>
  <c r="B28" i="1"/>
  <c r="B26" i="10" s="1"/>
  <c r="B27" i="1"/>
  <c r="B25" i="10" s="1"/>
  <c r="B22" i="1"/>
  <c r="B21" i="1"/>
  <c r="B20" i="1"/>
  <c r="B19" i="1"/>
  <c r="B18" i="1"/>
  <c r="B17" i="1"/>
  <c r="B16" i="1"/>
  <c r="B15" i="1"/>
  <c r="B14" i="1"/>
  <c r="B13" i="1"/>
  <c r="B12" i="1"/>
  <c r="B11" i="1"/>
  <c r="B10" i="1"/>
  <c r="B9" i="1"/>
  <c r="B8" i="1"/>
  <c r="A20" i="20"/>
  <c r="A21" i="20" s="1"/>
  <c r="A22" i="20" s="1"/>
  <c r="A23" i="20"/>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A184" i="20" s="1"/>
  <c r="A185" i="20" s="1"/>
  <c r="A186" i="20" s="1"/>
  <c r="A187" i="20" s="1"/>
  <c r="A188" i="20" s="1"/>
  <c r="A189" i="20" s="1"/>
  <c r="A190" i="20" s="1"/>
  <c r="A191" i="20" s="1"/>
  <c r="A192" i="20" s="1"/>
  <c r="A193" i="20" s="1"/>
  <c r="A194" i="20" s="1"/>
  <c r="A195" i="20" s="1"/>
  <c r="A196" i="20" s="1"/>
  <c r="A197" i="20" s="1"/>
  <c r="A198" i="20" s="1"/>
  <c r="A199" i="20" s="1"/>
  <c r="A200" i="20" s="1"/>
  <c r="A201" i="20" s="1"/>
  <c r="A202" i="20" s="1"/>
  <c r="A203" i="20" s="1"/>
  <c r="A204" i="20" s="1"/>
  <c r="A205" i="20" s="1"/>
  <c r="A206" i="20" s="1"/>
  <c r="A207" i="20" s="1"/>
  <c r="A208" i="20" s="1"/>
  <c r="A209" i="20" s="1"/>
  <c r="A210" i="20" s="1"/>
  <c r="A211" i="20" s="1"/>
  <c r="A212" i="20" s="1"/>
  <c r="A213" i="20" s="1"/>
  <c r="A214" i="20" s="1"/>
  <c r="A215" i="20" s="1"/>
  <c r="A216" i="20" s="1"/>
  <c r="A217" i="20" s="1"/>
  <c r="A218" i="20" s="1"/>
  <c r="A219" i="20" s="1"/>
  <c r="A220" i="20" s="1"/>
  <c r="A221" i="20" s="1"/>
  <c r="A222" i="20" s="1"/>
  <c r="A223" i="20" s="1"/>
  <c r="A224" i="20" s="1"/>
  <c r="A225" i="20" s="1"/>
  <c r="A226" i="20" s="1"/>
  <c r="A227" i="20" s="1"/>
  <c r="A228" i="20" s="1"/>
  <c r="A229" i="20" s="1"/>
  <c r="A230" i="20" s="1"/>
  <c r="A231" i="20" s="1"/>
  <c r="A232" i="20" s="1"/>
  <c r="A233" i="20" s="1"/>
  <c r="A234" i="20" s="1"/>
  <c r="A235" i="20" s="1"/>
  <c r="A236" i="20" s="1"/>
  <c r="A237" i="20" s="1"/>
  <c r="A238" i="20" s="1"/>
  <c r="A239" i="20" s="1"/>
  <c r="A240" i="20" s="1"/>
  <c r="A241" i="20" s="1"/>
  <c r="A242" i="20" s="1"/>
  <c r="A243" i="20" s="1"/>
  <c r="A244" i="20" s="1"/>
  <c r="A245" i="20" s="1"/>
  <c r="A246" i="20" s="1"/>
  <c r="A247" i="20" s="1"/>
  <c r="A248" i="20" s="1"/>
  <c r="A249" i="20" s="1"/>
  <c r="A250" i="20" s="1"/>
  <c r="A251" i="20" s="1"/>
  <c r="A252" i="20" s="1"/>
  <c r="A253" i="20" s="1"/>
  <c r="A254" i="20" s="1"/>
  <c r="A255" i="20" s="1"/>
  <c r="A256" i="20" s="1"/>
  <c r="E49" i="15"/>
  <c r="D220" i="15" s="1"/>
  <c r="E220" i="15" s="1"/>
  <c r="A276" i="18"/>
  <c r="A275" i="18"/>
  <c r="A274" i="18"/>
  <c r="B274" i="18" s="1"/>
  <c r="A273" i="18"/>
  <c r="A272" i="18"/>
  <c r="C272" i="18" s="1"/>
  <c r="A271" i="18"/>
  <c r="B271" i="18" s="1"/>
  <c r="A270" i="18"/>
  <c r="C270" i="18" s="1"/>
  <c r="A269" i="18"/>
  <c r="C269" i="18" s="1"/>
  <c r="A268" i="18"/>
  <c r="D268" i="18" s="1"/>
  <c r="A267" i="18"/>
  <c r="A266" i="18"/>
  <c r="D266" i="18" s="1"/>
  <c r="A265" i="18"/>
  <c r="D265" i="18" s="1"/>
  <c r="A263" i="18"/>
  <c r="D263" i="18" s="1"/>
  <c r="A262" i="18"/>
  <c r="B262" i="18" s="1"/>
  <c r="A261" i="18"/>
  <c r="B261" i="18" s="1"/>
  <c r="A260" i="18"/>
  <c r="C260" i="18" s="1"/>
  <c r="A259" i="18"/>
  <c r="D259" i="18" s="1"/>
  <c r="A258" i="18"/>
  <c r="A257" i="18"/>
  <c r="A256" i="18"/>
  <c r="A255" i="18"/>
  <c r="D255" i="18" s="1"/>
  <c r="A254" i="18"/>
  <c r="C254" i="18" s="1"/>
  <c r="A253" i="18"/>
  <c r="B253" i="18" s="1"/>
  <c r="A252" i="18"/>
  <c r="D252" i="18" s="1"/>
  <c r="A251" i="18"/>
  <c r="C251" i="18" s="1"/>
  <c r="A250" i="18"/>
  <c r="A249" i="18"/>
  <c r="D249" i="18" s="1"/>
  <c r="A248" i="18"/>
  <c r="A247" i="18"/>
  <c r="D247" i="18" s="1"/>
  <c r="A246" i="18"/>
  <c r="D246" i="18" s="1"/>
  <c r="A245" i="18"/>
  <c r="B245" i="18" s="1"/>
  <c r="A244" i="18"/>
  <c r="D244" i="18" s="1"/>
  <c r="A243" i="18"/>
  <c r="D243" i="18" s="1"/>
  <c r="A242" i="18"/>
  <c r="A241" i="18"/>
  <c r="A240" i="18"/>
  <c r="A239" i="18"/>
  <c r="B239" i="18" s="1"/>
  <c r="A238" i="18"/>
  <c r="C238" i="18" s="1"/>
  <c r="A237" i="18"/>
  <c r="D237" i="18" s="1"/>
  <c r="A236" i="18"/>
  <c r="C236" i="18" s="1"/>
  <c r="A235" i="18"/>
  <c r="D235" i="18" s="1"/>
  <c r="A233" i="18"/>
  <c r="A232" i="18"/>
  <c r="D232" i="18" s="1"/>
  <c r="A231" i="18"/>
  <c r="A230" i="18"/>
  <c r="C230" i="18" s="1"/>
  <c r="A229" i="18"/>
  <c r="D229" i="18" s="1"/>
  <c r="A228" i="18"/>
  <c r="D228" i="18" s="1"/>
  <c r="A226" i="18"/>
  <c r="B226" i="18" s="1"/>
  <c r="A225" i="18"/>
  <c r="C225" i="18" s="1"/>
  <c r="A224" i="18"/>
  <c r="A223" i="18"/>
  <c r="B223" i="18" s="1"/>
  <c r="A222" i="18"/>
  <c r="A217" i="18"/>
  <c r="C217" i="18" s="1"/>
  <c r="A215" i="18"/>
  <c r="B215" i="18" s="1"/>
  <c r="A214" i="18"/>
  <c r="B214" i="18" s="1"/>
  <c r="A213" i="18"/>
  <c r="B213" i="18" s="1"/>
  <c r="A212" i="18"/>
  <c r="B212" i="18" s="1"/>
  <c r="A211" i="18"/>
  <c r="A210" i="18"/>
  <c r="D210" i="18" s="1"/>
  <c r="A209" i="18"/>
  <c r="A208" i="18"/>
  <c r="C208" i="18" s="1"/>
  <c r="A207" i="18"/>
  <c r="D207" i="18" s="1"/>
  <c r="A206" i="18"/>
  <c r="B206" i="18" s="1"/>
  <c r="A205" i="18"/>
  <c r="C205" i="18" s="1"/>
  <c r="A204" i="18"/>
  <c r="B204" i="18" s="1"/>
  <c r="A203" i="18"/>
  <c r="A202" i="18"/>
  <c r="A201" i="18"/>
  <c r="A200" i="18"/>
  <c r="B200" i="18" s="1"/>
  <c r="A198" i="18"/>
  <c r="C198" i="18" s="1"/>
  <c r="A197" i="18"/>
  <c r="D197" i="18" s="1"/>
  <c r="A196" i="18"/>
  <c r="D196" i="18" s="1"/>
  <c r="A195" i="18"/>
  <c r="D195" i="18" s="1"/>
  <c r="A194" i="18"/>
  <c r="A193" i="18"/>
  <c r="B193" i="18" s="1"/>
  <c r="A192" i="18"/>
  <c r="A191" i="18"/>
  <c r="D191" i="18" s="1"/>
  <c r="A190" i="18"/>
  <c r="B190" i="18" s="1"/>
  <c r="A189" i="18"/>
  <c r="C189" i="18" s="1"/>
  <c r="A188" i="18"/>
  <c r="B188" i="18" s="1"/>
  <c r="A186" i="18"/>
  <c r="D186" i="18" s="1"/>
  <c r="A185" i="18"/>
  <c r="A184" i="18"/>
  <c r="C184" i="18" s="1"/>
  <c r="A183" i="18"/>
  <c r="A182" i="18"/>
  <c r="D182" i="18" s="1"/>
  <c r="A181" i="18"/>
  <c r="D181" i="18" s="1"/>
  <c r="A180" i="18"/>
  <c r="B180" i="18" s="1"/>
  <c r="A179" i="18"/>
  <c r="B179" i="18" s="1"/>
  <c r="A178" i="18"/>
  <c r="C178" i="18" s="1"/>
  <c r="A177" i="18"/>
  <c r="A170" i="18"/>
  <c r="C170" i="18" s="1"/>
  <c r="A169" i="18"/>
  <c r="A168" i="18"/>
  <c r="D168" i="18" s="1"/>
  <c r="A167" i="18"/>
  <c r="C167" i="18" s="1"/>
  <c r="A166" i="18"/>
  <c r="B166" i="18" s="1"/>
  <c r="A165" i="18"/>
  <c r="C165" i="18" s="1"/>
  <c r="A164" i="18"/>
  <c r="A163" i="18"/>
  <c r="A162" i="18"/>
  <c r="A161" i="18"/>
  <c r="A160" i="18"/>
  <c r="A159" i="18"/>
  <c r="B159" i="18" s="1"/>
  <c r="A156" i="18"/>
  <c r="C156" i="18" s="1"/>
  <c r="A155" i="18"/>
  <c r="D155" i="18" s="1"/>
  <c r="A154" i="18"/>
  <c r="A153" i="18"/>
  <c r="A152" i="18"/>
  <c r="D152" i="18" s="1"/>
  <c r="A151" i="18"/>
  <c r="A150" i="18"/>
  <c r="B150" i="18" s="1"/>
  <c r="A149" i="18"/>
  <c r="D149" i="18" s="1"/>
  <c r="A148" i="18"/>
  <c r="B148" i="18" s="1"/>
  <c r="A147" i="18"/>
  <c r="C147" i="18" s="1"/>
  <c r="A146" i="18"/>
  <c r="A145" i="18"/>
  <c r="A144" i="18"/>
  <c r="A143" i="18"/>
  <c r="A142" i="18"/>
  <c r="C142" i="18" s="1"/>
  <c r="A141" i="18"/>
  <c r="B141" i="18" s="1"/>
  <c r="A140" i="18"/>
  <c r="B140" i="18" s="1"/>
  <c r="A139" i="18"/>
  <c r="D139" i="18" s="1"/>
  <c r="A138" i="18"/>
  <c r="A137" i="18"/>
  <c r="A136" i="18"/>
  <c r="A135" i="18"/>
  <c r="A134" i="18"/>
  <c r="A133" i="18"/>
  <c r="D133" i="18" s="1"/>
  <c r="A128" i="18"/>
  <c r="C128" i="18" s="1"/>
  <c r="A127" i="18"/>
  <c r="C127" i="18" s="1"/>
  <c r="A126" i="18"/>
  <c r="A125" i="18"/>
  <c r="A124" i="18"/>
  <c r="A123" i="18"/>
  <c r="A122" i="18"/>
  <c r="D122" i="18" s="1"/>
  <c r="A121" i="18"/>
  <c r="D121" i="18" s="1"/>
  <c r="A120" i="18"/>
  <c r="B120" i="18" s="1"/>
  <c r="A119" i="18"/>
  <c r="B119" i="18" s="1"/>
  <c r="A118" i="18"/>
  <c r="A117" i="18"/>
  <c r="A115" i="18"/>
  <c r="B115" i="18" s="1"/>
  <c r="A114" i="18"/>
  <c r="A113" i="18"/>
  <c r="D113" i="18" s="1"/>
  <c r="A112" i="18"/>
  <c r="B112" i="18" s="1"/>
  <c r="A111" i="18"/>
  <c r="B111" i="18" s="1"/>
  <c r="A110" i="18"/>
  <c r="C110" i="18" s="1"/>
  <c r="A109" i="18"/>
  <c r="A108" i="18"/>
  <c r="A107" i="18"/>
  <c r="A106" i="18"/>
  <c r="A103" i="18"/>
  <c r="A102" i="18"/>
  <c r="C102" i="18" s="1"/>
  <c r="A101" i="18"/>
  <c r="D101" i="18" s="1"/>
  <c r="A100" i="18"/>
  <c r="C100" i="18" s="1"/>
  <c r="A99" i="18"/>
  <c r="B99" i="18" s="1"/>
  <c r="A98" i="18"/>
  <c r="A97" i="18"/>
  <c r="D97" i="18" s="1"/>
  <c r="A96" i="18"/>
  <c r="A95" i="18"/>
  <c r="A94" i="18"/>
  <c r="C94" i="18" s="1"/>
  <c r="A93" i="18"/>
  <c r="C93" i="18" s="1"/>
  <c r="A92" i="18"/>
  <c r="D92" i="18" s="1"/>
  <c r="A91" i="18"/>
  <c r="C91" i="18" s="1"/>
  <c r="A90" i="18"/>
  <c r="A89" i="18"/>
  <c r="A88" i="18"/>
  <c r="A86" i="18"/>
  <c r="C86" i="18" s="1"/>
  <c r="A85" i="18"/>
  <c r="C85" i="18" s="1"/>
  <c r="A84" i="18"/>
  <c r="B84" i="18" s="1"/>
  <c r="A83" i="18"/>
  <c r="D83" i="18" s="1"/>
  <c r="A82" i="18"/>
  <c r="D82" i="18" s="1"/>
  <c r="A81" i="18"/>
  <c r="A80" i="18"/>
  <c r="B80" i="18" s="1"/>
  <c r="A79" i="18"/>
  <c r="A78" i="18"/>
  <c r="A77" i="18"/>
  <c r="C77" i="18" s="1"/>
  <c r="A75" i="18"/>
  <c r="C75" i="18" s="1"/>
  <c r="A74" i="18"/>
  <c r="C74" i="18" s="1"/>
  <c r="A73" i="18"/>
  <c r="D73" i="18" s="1"/>
  <c r="A72" i="18"/>
  <c r="A71" i="18"/>
  <c r="A70" i="18"/>
  <c r="A69" i="18"/>
  <c r="D69" i="18" s="1"/>
  <c r="A68" i="18"/>
  <c r="C68" i="18" s="1"/>
  <c r="A67" i="18"/>
  <c r="C67" i="18" s="1"/>
  <c r="C180" i="18"/>
  <c r="C191" i="18"/>
  <c r="C211" i="18"/>
  <c r="B211" i="18"/>
  <c r="D211" i="18"/>
  <c r="D223" i="18"/>
  <c r="C232" i="18"/>
  <c r="B232" i="18"/>
  <c r="B238" i="18"/>
  <c r="C250" i="18"/>
  <c r="B250" i="18"/>
  <c r="D250" i="18"/>
  <c r="C265" i="18"/>
  <c r="B265" i="18"/>
  <c r="C177" i="18"/>
  <c r="B177" i="18"/>
  <c r="D177" i="18"/>
  <c r="D185" i="18"/>
  <c r="C185" i="18"/>
  <c r="B185" i="18"/>
  <c r="D192" i="18"/>
  <c r="C192" i="18"/>
  <c r="B192" i="18"/>
  <c r="C200" i="18"/>
  <c r="C204" i="18"/>
  <c r="D208" i="18"/>
  <c r="D212" i="18"/>
  <c r="C212" i="18"/>
  <c r="D224" i="18"/>
  <c r="C224" i="18"/>
  <c r="B224" i="18"/>
  <c r="D233" i="18"/>
  <c r="C233" i="18"/>
  <c r="B233" i="18"/>
  <c r="B235" i="18"/>
  <c r="D239" i="18"/>
  <c r="C243" i="18"/>
  <c r="B243" i="18"/>
  <c r="B247" i="18"/>
  <c r="D251" i="18"/>
  <c r="C255" i="18"/>
  <c r="B255" i="18"/>
  <c r="B259" i="18"/>
  <c r="C263" i="18"/>
  <c r="B263" i="18"/>
  <c r="C266" i="18"/>
  <c r="B266" i="18"/>
  <c r="B270" i="18"/>
  <c r="D274" i="18"/>
  <c r="C274" i="18"/>
  <c r="B195" i="18"/>
  <c r="C203" i="18"/>
  <c r="B203" i="18"/>
  <c r="D203" i="18"/>
  <c r="C228" i="18"/>
  <c r="B228" i="18"/>
  <c r="C242" i="18"/>
  <c r="B242" i="18"/>
  <c r="D242" i="18"/>
  <c r="B178" i="18"/>
  <c r="B182" i="18"/>
  <c r="C186" i="18"/>
  <c r="D193" i="18"/>
  <c r="C193" i="18"/>
  <c r="D201" i="18"/>
  <c r="C201" i="18"/>
  <c r="B201" i="18"/>
  <c r="B205" i="18"/>
  <c r="D209" i="18"/>
  <c r="C209" i="18"/>
  <c r="B209" i="18"/>
  <c r="D220" i="18"/>
  <c r="B220" i="18"/>
  <c r="C220" i="18"/>
  <c r="D225" i="18"/>
  <c r="B225" i="18"/>
  <c r="D230" i="18"/>
  <c r="B236" i="18"/>
  <c r="D240" i="18"/>
  <c r="C240" i="18"/>
  <c r="B240" i="18"/>
  <c r="D248" i="18"/>
  <c r="C248" i="18"/>
  <c r="B248" i="18"/>
  <c r="D256" i="18"/>
  <c r="C256" i="18"/>
  <c r="B256" i="18"/>
  <c r="D260" i="18"/>
  <c r="D267" i="18"/>
  <c r="C267" i="18"/>
  <c r="B267" i="18"/>
  <c r="C271" i="18"/>
  <c r="D275" i="18"/>
  <c r="C275" i="18"/>
  <c r="B275" i="18"/>
  <c r="D184" i="18"/>
  <c r="B184" i="18"/>
  <c r="B246" i="18"/>
  <c r="C258" i="18"/>
  <c r="B258" i="18"/>
  <c r="D258" i="18"/>
  <c r="C273" i="18"/>
  <c r="B273" i="18"/>
  <c r="D273" i="18"/>
  <c r="C183" i="18"/>
  <c r="B183" i="18"/>
  <c r="D183" i="18"/>
  <c r="B194" i="18"/>
  <c r="D194" i="18"/>
  <c r="C194" i="18"/>
  <c r="B198" i="18"/>
  <c r="B202" i="18"/>
  <c r="D202" i="18"/>
  <c r="C202" i="18"/>
  <c r="B210" i="18"/>
  <c r="C210" i="18"/>
  <c r="B222" i="18"/>
  <c r="D222" i="18"/>
  <c r="C222" i="18"/>
  <c r="C226" i="18"/>
  <c r="B231" i="18"/>
  <c r="C231" i="18"/>
  <c r="D231" i="18"/>
  <c r="B241" i="18"/>
  <c r="D241" i="18"/>
  <c r="C241" i="18"/>
  <c r="B249" i="18"/>
  <c r="C249" i="18"/>
  <c r="D253" i="18"/>
  <c r="C253" i="18"/>
  <c r="B257" i="18"/>
  <c r="D257" i="18"/>
  <c r="C257" i="18"/>
  <c r="B268" i="18"/>
  <c r="C268" i="18"/>
  <c r="B272" i="18"/>
  <c r="D272" i="18"/>
  <c r="B276" i="18"/>
  <c r="D276" i="18"/>
  <c r="C276" i="18"/>
  <c r="D26" i="18"/>
  <c r="C26" i="18"/>
  <c r="B26" i="18"/>
  <c r="D30" i="18"/>
  <c r="C30" i="18"/>
  <c r="B30" i="18"/>
  <c r="B42" i="18"/>
  <c r="D42" i="18"/>
  <c r="C42" i="18"/>
  <c r="B34" i="18"/>
  <c r="C34" i="18"/>
  <c r="D34" i="18"/>
  <c r="B63" i="18"/>
  <c r="D63" i="18"/>
  <c r="C63" i="18"/>
  <c r="C69" i="18"/>
  <c r="B73" i="18"/>
  <c r="C73" i="18"/>
  <c r="D78" i="18"/>
  <c r="B78" i="18"/>
  <c r="C78" i="18"/>
  <c r="C82" i="18"/>
  <c r="B82" i="18"/>
  <c r="D86" i="18"/>
  <c r="B86" i="18"/>
  <c r="D88" i="18"/>
  <c r="B88" i="18"/>
  <c r="C88" i="18"/>
  <c r="D96" i="18"/>
  <c r="C96" i="18"/>
  <c r="B96" i="18"/>
  <c r="D100" i="18"/>
  <c r="D104" i="18"/>
  <c r="B104" i="18"/>
  <c r="C104" i="18"/>
  <c r="D109" i="18"/>
  <c r="B109" i="18"/>
  <c r="C109" i="18"/>
  <c r="C113" i="18"/>
  <c r="B113" i="18"/>
  <c r="D124" i="18"/>
  <c r="C124" i="18"/>
  <c r="B124" i="18"/>
  <c r="D128" i="18"/>
  <c r="D137" i="18"/>
  <c r="B137" i="18"/>
  <c r="C137" i="18"/>
  <c r="D141" i="18"/>
  <c r="D145" i="18"/>
  <c r="C145" i="18"/>
  <c r="B145" i="18"/>
  <c r="B149" i="18"/>
  <c r="D153" i="18"/>
  <c r="B153" i="18"/>
  <c r="C153" i="18"/>
  <c r="D160" i="18"/>
  <c r="C160" i="18"/>
  <c r="B160" i="18"/>
  <c r="D164" i="18"/>
  <c r="B164" i="18"/>
  <c r="C164" i="18"/>
  <c r="B168" i="18"/>
  <c r="C168" i="18"/>
  <c r="D172" i="18"/>
  <c r="C172" i="18"/>
  <c r="B172" i="18"/>
  <c r="D29" i="18"/>
  <c r="B29" i="18"/>
  <c r="C29" i="18"/>
  <c r="A264" i="18" s="1"/>
  <c r="B27" i="18"/>
  <c r="C27" i="18"/>
  <c r="A60" i="18" s="1"/>
  <c r="D27" i="18"/>
  <c r="B31" i="18"/>
  <c r="D31" i="18"/>
  <c r="C31" i="18"/>
  <c r="A227" i="18" s="1"/>
  <c r="C43" i="18"/>
  <c r="D43" i="18"/>
  <c r="B43" i="18"/>
  <c r="C35" i="18"/>
  <c r="D35" i="18"/>
  <c r="B35" i="18"/>
  <c r="C70" i="18"/>
  <c r="D70" i="18"/>
  <c r="B70" i="18"/>
  <c r="B74" i="18"/>
  <c r="D79" i="18"/>
  <c r="C79" i="18"/>
  <c r="B79" i="18"/>
  <c r="D89" i="18"/>
  <c r="B89" i="18"/>
  <c r="C89" i="18"/>
  <c r="B97" i="18"/>
  <c r="C97" i="18"/>
  <c r="C101" i="18"/>
  <c r="B101" i="18"/>
  <c r="D106" i="18"/>
  <c r="B106" i="18"/>
  <c r="C106" i="18"/>
  <c r="B114" i="18"/>
  <c r="D114" i="18"/>
  <c r="C114" i="18"/>
  <c r="C117" i="18"/>
  <c r="B117" i="18"/>
  <c r="D117" i="18"/>
  <c r="B121" i="18"/>
  <c r="C125" i="18"/>
  <c r="D125" i="18"/>
  <c r="B125" i="18"/>
  <c r="B131" i="18"/>
  <c r="C131" i="18"/>
  <c r="D131" i="18"/>
  <c r="D134" i="18"/>
  <c r="C134" i="18"/>
  <c r="B134" i="18"/>
  <c r="D138" i="18"/>
  <c r="C138" i="18"/>
  <c r="B138" i="18"/>
  <c r="B142" i="18"/>
  <c r="D142" i="18"/>
  <c r="B146" i="18"/>
  <c r="D146" i="18"/>
  <c r="C146" i="18"/>
  <c r="D150" i="18"/>
  <c r="C150" i="18"/>
  <c r="D154" i="18"/>
  <c r="B154" i="18"/>
  <c r="C154" i="18"/>
  <c r="B161" i="18"/>
  <c r="D161" i="18"/>
  <c r="C161" i="18"/>
  <c r="D165" i="18"/>
  <c r="C169" i="18"/>
  <c r="D169" i="18"/>
  <c r="B169" i="18"/>
  <c r="B173" i="18"/>
  <c r="D173" i="18"/>
  <c r="C173" i="18"/>
  <c r="D25" i="18"/>
  <c r="C25" i="18"/>
  <c r="A234" i="18" s="1"/>
  <c r="B25" i="18"/>
  <c r="C28" i="18"/>
  <c r="D28" i="18"/>
  <c r="B28" i="18"/>
  <c r="D40" i="18"/>
  <c r="C40" i="18"/>
  <c r="B40" i="18"/>
  <c r="D36" i="18"/>
  <c r="B36" i="18"/>
  <c r="C36" i="18"/>
  <c r="D61" i="18"/>
  <c r="B61" i="18"/>
  <c r="C61" i="18"/>
  <c r="D67" i="18"/>
  <c r="B67" i="18"/>
  <c r="D71" i="18"/>
  <c r="C71" i="18"/>
  <c r="B71" i="18"/>
  <c r="C80" i="18"/>
  <c r="D80" i="18"/>
  <c r="B90" i="18"/>
  <c r="D90" i="18"/>
  <c r="C90" i="18"/>
  <c r="B94" i="18"/>
  <c r="D94" i="18"/>
  <c r="B98" i="18"/>
  <c r="D98" i="18"/>
  <c r="C98" i="18"/>
  <c r="D102" i="18"/>
  <c r="B107" i="18"/>
  <c r="D107" i="18"/>
  <c r="C107" i="18"/>
  <c r="D115" i="18"/>
  <c r="C115" i="18"/>
  <c r="B118" i="18"/>
  <c r="C118" i="18"/>
  <c r="D118" i="18"/>
  <c r="B122" i="18"/>
  <c r="C122" i="18"/>
  <c r="B126" i="18"/>
  <c r="C126" i="18"/>
  <c r="D126" i="18"/>
  <c r="B135" i="18"/>
  <c r="C135" i="18"/>
  <c r="D135" i="18"/>
  <c r="B143" i="18"/>
  <c r="D143" i="18"/>
  <c r="C143" i="18"/>
  <c r="D147" i="18"/>
  <c r="B151" i="18"/>
  <c r="C151" i="18"/>
  <c r="D151" i="18"/>
  <c r="B158" i="18"/>
  <c r="D158" i="18"/>
  <c r="C158" i="18"/>
  <c r="B162" i="18"/>
  <c r="C162" i="18"/>
  <c r="D162" i="18"/>
  <c r="D166" i="18"/>
  <c r="C166" i="18"/>
  <c r="B170" i="18"/>
  <c r="D170" i="18"/>
  <c r="B174" i="18"/>
  <c r="D174" i="18"/>
  <c r="C174" i="18"/>
  <c r="B41" i="18"/>
  <c r="D41" i="18"/>
  <c r="C41" i="18"/>
  <c r="B33" i="18"/>
  <c r="D33" i="18"/>
  <c r="C33" i="18"/>
  <c r="D37" i="18"/>
  <c r="C37" i="18"/>
  <c r="B37" i="18"/>
  <c r="C62" i="18"/>
  <c r="B62" i="18"/>
  <c r="D62" i="18"/>
  <c r="B72" i="18"/>
  <c r="D72" i="18"/>
  <c r="C72" i="18"/>
  <c r="D77" i="18"/>
  <c r="C81" i="18"/>
  <c r="D81" i="18"/>
  <c r="B81" i="18"/>
  <c r="B85" i="18"/>
  <c r="D85" i="18"/>
  <c r="D91" i="18"/>
  <c r="B91" i="18"/>
  <c r="C95" i="18"/>
  <c r="B95" i="18"/>
  <c r="D95" i="18"/>
  <c r="C99" i="18"/>
  <c r="D99" i="18"/>
  <c r="C103" i="18"/>
  <c r="B103" i="18"/>
  <c r="D103" i="18"/>
  <c r="C108" i="18"/>
  <c r="D108" i="18"/>
  <c r="B108" i="18"/>
  <c r="D112" i="18"/>
  <c r="D119" i="18"/>
  <c r="C123" i="18"/>
  <c r="D123" i="18"/>
  <c r="B123" i="18"/>
  <c r="C136" i="18"/>
  <c r="D136" i="18"/>
  <c r="B136" i="18"/>
  <c r="C144" i="18"/>
  <c r="B144" i="18"/>
  <c r="D144" i="18"/>
  <c r="C148" i="18"/>
  <c r="D148" i="18"/>
  <c r="C152" i="18"/>
  <c r="B152" i="18"/>
  <c r="C159" i="18"/>
  <c r="D159" i="18"/>
  <c r="C163" i="18"/>
  <c r="B163" i="18"/>
  <c r="D163" i="18"/>
  <c r="D167" i="18"/>
  <c r="B167" i="18"/>
  <c r="C171" i="18"/>
  <c r="B171" i="18"/>
  <c r="D264" i="18"/>
  <c r="C264" i="18"/>
  <c r="D234" i="18"/>
  <c r="C234" i="18"/>
  <c r="D227" i="18"/>
  <c r="C227" i="18"/>
  <c r="D221" i="18"/>
  <c r="C221" i="18"/>
  <c r="D216" i="18"/>
  <c r="C216" i="18"/>
  <c r="D199" i="18"/>
  <c r="C199" i="18"/>
  <c r="D187" i="18"/>
  <c r="C187" i="18"/>
  <c r="D175" i="18"/>
  <c r="C175" i="18"/>
  <c r="D157" i="18"/>
  <c r="C157" i="18"/>
  <c r="D132" i="18"/>
  <c r="C132" i="18"/>
  <c r="D116" i="18"/>
  <c r="C116" i="18"/>
  <c r="D105" i="18"/>
  <c r="C105" i="18"/>
  <c r="D87" i="18"/>
  <c r="C87" i="18"/>
  <c r="D76" i="18"/>
  <c r="C76" i="18"/>
  <c r="D66" i="18"/>
  <c r="C66" i="18"/>
  <c r="D60" i="18"/>
  <c r="C60" i="18"/>
  <c r="D32" i="18"/>
  <c r="C32" i="18"/>
  <c r="D38" i="18"/>
  <c r="C38" i="18"/>
  <c r="A82" i="14"/>
  <c r="A97" i="14"/>
  <c r="D106" i="20"/>
  <c r="A211" i="14"/>
  <c r="A239" i="14"/>
  <c r="G9" i="14"/>
  <c r="G6" i="14"/>
  <c r="G7" i="14"/>
  <c r="B6" i="14"/>
  <c r="D49" i="15"/>
  <c r="B4" i="15"/>
  <c r="I2" i="14"/>
  <c r="E2" i="15"/>
  <c r="B957" i="12"/>
  <c r="B956" i="12"/>
  <c r="B955" i="12"/>
  <c r="B954" i="12"/>
  <c r="B953" i="12"/>
  <c r="B952" i="12"/>
  <c r="B951" i="12"/>
  <c r="B950" i="12"/>
  <c r="B949" i="12"/>
  <c r="B948" i="12"/>
  <c r="B947" i="12"/>
  <c r="B946" i="12"/>
  <c r="B945" i="12"/>
  <c r="B944" i="12"/>
  <c r="B943" i="12"/>
  <c r="B942" i="12"/>
  <c r="B941" i="12"/>
  <c r="B940" i="12"/>
  <c r="B938" i="12"/>
  <c r="B939" i="12"/>
  <c r="B937" i="12"/>
  <c r="B936" i="12"/>
  <c r="B935" i="12"/>
  <c r="B934" i="12"/>
  <c r="B933" i="12"/>
  <c r="B932" i="12"/>
  <c r="B931" i="12"/>
  <c r="B930" i="12"/>
  <c r="B926" i="12"/>
  <c r="B929" i="12"/>
  <c r="B928" i="12"/>
  <c r="B925" i="12"/>
  <c r="B927" i="12"/>
  <c r="A226" i="15"/>
  <c r="D226" i="15"/>
  <c r="E226" i="15" s="1"/>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D194" i="15" s="1"/>
  <c r="E194" i="15" s="1"/>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D162" i="15" s="1"/>
  <c r="E162" i="15" s="1"/>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D130" i="15" s="1"/>
  <c r="E130" i="15" s="1"/>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D98" i="15"/>
  <c r="E98" i="15" s="1"/>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D66" i="15" s="1"/>
  <c r="E66" i="15" s="1"/>
  <c r="A65" i="15"/>
  <c r="A64" i="15"/>
  <c r="A63" i="15"/>
  <c r="A62" i="15"/>
  <c r="A61" i="15"/>
  <c r="A60" i="15"/>
  <c r="A59" i="15"/>
  <c r="A58" i="15"/>
  <c r="A57" i="15"/>
  <c r="A56" i="15"/>
  <c r="A55" i="15"/>
  <c r="A54" i="15"/>
  <c r="A53" i="15"/>
  <c r="A52" i="15"/>
  <c r="A51" i="15"/>
  <c r="A50" i="15"/>
  <c r="B5" i="15"/>
  <c r="B49" i="15"/>
  <c r="A49"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A227" i="15"/>
  <c r="B227" i="15"/>
  <c r="A228" i="15"/>
  <c r="B228" i="15"/>
  <c r="A229" i="15"/>
  <c r="B229" i="15"/>
  <c r="A230" i="15"/>
  <c r="B230" i="15"/>
  <c r="A231" i="15"/>
  <c r="B231" i="15"/>
  <c r="A232" i="15"/>
  <c r="B232" i="15"/>
  <c r="A233" i="15"/>
  <c r="B233" i="15"/>
  <c r="A234" i="15"/>
  <c r="B234" i="15"/>
  <c r="A235" i="15"/>
  <c r="B235" i="15"/>
  <c r="A236" i="15"/>
  <c r="B236" i="15"/>
  <c r="A237" i="15"/>
  <c r="B237" i="15"/>
  <c r="A238" i="15"/>
  <c r="B238" i="15"/>
  <c r="A239" i="15"/>
  <c r="B239" i="15"/>
  <c r="A240" i="15"/>
  <c r="B240" i="15"/>
  <c r="A241" i="15"/>
  <c r="B241" i="15"/>
  <c r="A242" i="15"/>
  <c r="B242" i="15"/>
  <c r="A243" i="15"/>
  <c r="B243" i="15"/>
  <c r="A244" i="15"/>
  <c r="B244" i="15"/>
  <c r="A245" i="15"/>
  <c r="B245" i="15"/>
  <c r="A246" i="15"/>
  <c r="B246" i="15"/>
  <c r="A247" i="15"/>
  <c r="B247" i="15"/>
  <c r="A248" i="15"/>
  <c r="B248" i="15"/>
  <c r="A249" i="15"/>
  <c r="B249" i="15"/>
  <c r="A250" i="15"/>
  <c r="B250" i="15"/>
  <c r="A251" i="15"/>
  <c r="B251" i="15"/>
  <c r="A252" i="15"/>
  <c r="B252" i="15"/>
  <c r="A253" i="15"/>
  <c r="B253" i="15"/>
  <c r="A254" i="15"/>
  <c r="B254" i="15"/>
  <c r="A255" i="15"/>
  <c r="B255" i="15"/>
  <c r="A256" i="15"/>
  <c r="B256" i="15"/>
  <c r="A257" i="15"/>
  <c r="B257" i="15"/>
  <c r="A258" i="15"/>
  <c r="B258" i="15"/>
  <c r="A259" i="15"/>
  <c r="B259" i="15"/>
  <c r="A260" i="15"/>
  <c r="B260" i="15"/>
  <c r="A261" i="15"/>
  <c r="B261" i="15"/>
  <c r="A262" i="15"/>
  <c r="B262" i="15"/>
  <c r="A263" i="15"/>
  <c r="B263" i="15"/>
  <c r="A264" i="15"/>
  <c r="B264" i="15"/>
  <c r="A265" i="15"/>
  <c r="B265" i="15"/>
  <c r="A266" i="15"/>
  <c r="B266" i="15"/>
  <c r="A267" i="15"/>
  <c r="B267" i="15"/>
  <c r="A268" i="15"/>
  <c r="B268" i="15"/>
  <c r="A269" i="15"/>
  <c r="B269" i="15"/>
  <c r="A270" i="15"/>
  <c r="B270" i="15"/>
  <c r="A271" i="15"/>
  <c r="B271" i="15"/>
  <c r="A272" i="15"/>
  <c r="B272" i="15"/>
  <c r="A273" i="15"/>
  <c r="B273" i="15"/>
  <c r="A274" i="15"/>
  <c r="B274" i="15"/>
  <c r="A275" i="15"/>
  <c r="B275" i="15"/>
  <c r="A276" i="15"/>
  <c r="B276" i="15"/>
  <c r="A277" i="15"/>
  <c r="B277" i="15"/>
  <c r="A278" i="15"/>
  <c r="B278" i="15"/>
  <c r="A279" i="15"/>
  <c r="B279" i="15"/>
  <c r="A280" i="15"/>
  <c r="B280" i="15"/>
  <c r="A281" i="15"/>
  <c r="B281" i="15"/>
  <c r="A282" i="15"/>
  <c r="B282" i="15"/>
  <c r="A283" i="15"/>
  <c r="B283" i="15"/>
  <c r="A284" i="15"/>
  <c r="B284" i="15"/>
  <c r="A285" i="15"/>
  <c r="B285" i="15"/>
  <c r="A286" i="15"/>
  <c r="B286" i="15"/>
  <c r="A287" i="15"/>
  <c r="B287" i="15"/>
  <c r="A288" i="15"/>
  <c r="B288" i="15"/>
  <c r="A289" i="15"/>
  <c r="B289" i="15"/>
  <c r="A290" i="15"/>
  <c r="B290" i="15"/>
  <c r="A291" i="15"/>
  <c r="B291" i="15"/>
  <c r="A292" i="15"/>
  <c r="B292" i="15"/>
  <c r="A293" i="15"/>
  <c r="B293" i="15"/>
  <c r="A294" i="15"/>
  <c r="B294" i="15"/>
  <c r="A295" i="15"/>
  <c r="B295" i="15"/>
  <c r="A296" i="15"/>
  <c r="B296" i="15"/>
  <c r="A297" i="15"/>
  <c r="B297" i="15"/>
  <c r="A298" i="15"/>
  <c r="B298" i="15"/>
  <c r="A299" i="15"/>
  <c r="B299" i="15"/>
  <c r="A300" i="15"/>
  <c r="B300" i="15"/>
  <c r="A301" i="15"/>
  <c r="B301" i="15"/>
  <c r="A302" i="15"/>
  <c r="B302" i="15"/>
  <c r="A303" i="15"/>
  <c r="B303" i="15"/>
  <c r="A304" i="15"/>
  <c r="B304" i="15"/>
  <c r="A305" i="15"/>
  <c r="B305" i="15"/>
  <c r="A306" i="15"/>
  <c r="B306" i="15"/>
  <c r="A307" i="15"/>
  <c r="B307" i="15"/>
  <c r="A308" i="15"/>
  <c r="B308" i="15"/>
  <c r="A309" i="15"/>
  <c r="B309" i="15"/>
  <c r="A310" i="15"/>
  <c r="B310" i="15"/>
  <c r="A311" i="15"/>
  <c r="B311" i="15"/>
  <c r="A312" i="15"/>
  <c r="B312" i="15"/>
  <c r="A313" i="15"/>
  <c r="B313" i="15"/>
  <c r="A314" i="15"/>
  <c r="B314" i="15"/>
  <c r="A315" i="15"/>
  <c r="B315" i="15"/>
  <c r="A316" i="15"/>
  <c r="B316" i="15"/>
  <c r="A317" i="15"/>
  <c r="B317"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50" i="15"/>
  <c r="O22" i="20"/>
  <c r="O23" i="20"/>
  <c r="D213" i="20"/>
  <c r="D212" i="20"/>
  <c r="D214" i="20"/>
  <c r="D118" i="20"/>
  <c r="D114" i="20"/>
  <c r="D110" i="20"/>
  <c r="D103" i="20"/>
  <c r="D99" i="20"/>
  <c r="D117" i="20"/>
  <c r="D113" i="20"/>
  <c r="D109" i="20"/>
  <c r="D102" i="20"/>
  <c r="D98" i="20"/>
  <c r="D111" i="20"/>
  <c r="D100" i="20"/>
  <c r="D116" i="20"/>
  <c r="D112" i="20"/>
  <c r="D105" i="20"/>
  <c r="D101" i="20"/>
  <c r="D119" i="20"/>
  <c r="D115" i="20"/>
  <c r="D104" i="20"/>
  <c r="D211" i="20"/>
  <c r="A144" i="14"/>
  <c r="D29" i="20"/>
  <c r="D25" i="20"/>
  <c r="D28" i="20"/>
  <c r="D27" i="20"/>
  <c r="D26" i="20"/>
  <c r="A128" i="14"/>
  <c r="D108" i="20"/>
  <c r="D107" i="20"/>
  <c r="A117" i="14"/>
  <c r="D97" i="20"/>
  <c r="D71" i="20"/>
  <c r="D72" i="20"/>
  <c r="D70" i="20"/>
  <c r="D68" i="20"/>
  <c r="D172" i="20"/>
  <c r="D168" i="20"/>
  <c r="D155" i="20"/>
  <c r="D158" i="20"/>
  <c r="D169" i="20"/>
  <c r="D171" i="20"/>
  <c r="D167" i="20"/>
  <c r="D154" i="20"/>
  <c r="D165" i="20"/>
  <c r="D170" i="20"/>
  <c r="D166" i="20"/>
  <c r="D157" i="20"/>
  <c r="D153" i="20"/>
  <c r="D173" i="20"/>
  <c r="D156" i="20"/>
  <c r="D207" i="20"/>
  <c r="D120" i="20"/>
  <c r="D206" i="20"/>
  <c r="D205" i="20"/>
  <c r="D208" i="20"/>
  <c r="A233" i="14"/>
  <c r="D146" i="20"/>
  <c r="A169" i="14"/>
  <c r="A199" i="14"/>
  <c r="A228" i="14"/>
  <c r="J163" i="10"/>
  <c r="J235" i="10"/>
  <c r="J230" i="10"/>
  <c r="J206" i="10"/>
  <c r="J202" i="10"/>
  <c r="J198" i="10"/>
  <c r="J194" i="10"/>
  <c r="J191" i="10"/>
  <c r="J187" i="10"/>
  <c r="J183" i="10"/>
  <c r="J171" i="10"/>
  <c r="J164" i="10"/>
  <c r="J149" i="10"/>
  <c r="J145" i="10"/>
  <c r="J141" i="10"/>
  <c r="J111" i="10"/>
  <c r="J106" i="10"/>
  <c r="J102" i="10"/>
  <c r="J98" i="10"/>
  <c r="J94" i="10"/>
  <c r="J84" i="10"/>
  <c r="J80" i="10"/>
  <c r="J76" i="10"/>
  <c r="J71" i="10"/>
  <c r="J67" i="10"/>
  <c r="J62" i="10"/>
  <c r="J234" i="10"/>
  <c r="J229" i="10"/>
  <c r="J205" i="10"/>
  <c r="J201" i="10"/>
  <c r="J197" i="10"/>
  <c r="J193" i="10"/>
  <c r="J190" i="10"/>
  <c r="J186" i="10"/>
  <c r="J182" i="10"/>
  <c r="J179" i="10"/>
  <c r="J207" i="10"/>
  <c r="J199" i="10"/>
  <c r="J184" i="10"/>
  <c r="J177" i="10"/>
  <c r="J166" i="10"/>
  <c r="J150" i="10"/>
  <c r="J144" i="10"/>
  <c r="J139" i="10"/>
  <c r="J104" i="10"/>
  <c r="J99" i="10"/>
  <c r="J93" i="10"/>
  <c r="J85" i="10"/>
  <c r="J79" i="10"/>
  <c r="J73" i="10"/>
  <c r="J68" i="10"/>
  <c r="J61" i="10"/>
  <c r="J233" i="10"/>
  <c r="J189" i="10"/>
  <c r="J165" i="10"/>
  <c r="J143" i="10"/>
  <c r="J97" i="10"/>
  <c r="J78" i="10"/>
  <c r="J66" i="10"/>
  <c r="J195" i="10"/>
  <c r="J101" i="10"/>
  <c r="J70" i="10"/>
  <c r="J200" i="10"/>
  <c r="J178" i="10"/>
  <c r="J151" i="10"/>
  <c r="J100" i="10"/>
  <c r="J89" i="10"/>
  <c r="J69" i="10"/>
  <c r="J228" i="10"/>
  <c r="J196" i="10"/>
  <c r="J181" i="10"/>
  <c r="J148" i="10"/>
  <c r="J138" i="10"/>
  <c r="J103" i="10"/>
  <c r="J92" i="10"/>
  <c r="J83" i="10"/>
  <c r="J72" i="10"/>
  <c r="J203" i="10"/>
  <c r="J147" i="10"/>
  <c r="J96" i="10"/>
  <c r="J82" i="10"/>
  <c r="J64" i="10"/>
  <c r="J146" i="10"/>
  <c r="J105" i="10"/>
  <c r="J74" i="10"/>
  <c r="J227" i="10"/>
  <c r="J188" i="10"/>
  <c r="J142" i="10"/>
  <c r="J107" i="10"/>
  <c r="J91" i="10"/>
  <c r="J77" i="10"/>
  <c r="J185" i="10"/>
  <c r="J167" i="10"/>
  <c r="J140" i="10"/>
  <c r="J95" i="10"/>
  <c r="J81" i="10"/>
  <c r="J63" i="10"/>
  <c r="N47" i="20"/>
  <c r="N49" i="20"/>
  <c r="N45" i="20"/>
  <c r="N48" i="20"/>
  <c r="N46" i="20"/>
  <c r="D53" i="20"/>
  <c r="D52" i="20"/>
  <c r="D210" i="20"/>
  <c r="D51" i="20"/>
  <c r="D121" i="20"/>
  <c r="D50" i="20"/>
  <c r="D255" i="20"/>
  <c r="D251" i="20"/>
  <c r="D247" i="20"/>
  <c r="D253" i="20"/>
  <c r="D248" i="20"/>
  <c r="D252" i="20"/>
  <c r="D246" i="20"/>
  <c r="D250" i="20"/>
  <c r="D254" i="20"/>
  <c r="D249" i="20"/>
  <c r="D256" i="20"/>
  <c r="D245" i="20"/>
  <c r="D203" i="20"/>
  <c r="D202" i="20"/>
  <c r="D159" i="20"/>
  <c r="D54" i="20"/>
  <c r="D24" i="20"/>
  <c r="D150" i="20"/>
  <c r="D61" i="20"/>
  <c r="D57" i="20"/>
  <c r="D149" i="20"/>
  <c r="D60" i="20"/>
  <c r="D56" i="20"/>
  <c r="D152" i="20"/>
  <c r="D59" i="20"/>
  <c r="D151" i="20"/>
  <c r="D147" i="20"/>
  <c r="D62" i="20"/>
  <c r="D58" i="20"/>
  <c r="D148" i="20"/>
  <c r="D63" i="20"/>
  <c r="D55" i="20"/>
  <c r="D22" i="20"/>
  <c r="D21" i="20"/>
  <c r="D18" i="20"/>
  <c r="D20" i="20"/>
  <c r="D209" i="20"/>
  <c r="D19" i="20"/>
  <c r="D243" i="20"/>
  <c r="D239" i="20"/>
  <c r="D235" i="20"/>
  <c r="D231" i="20"/>
  <c r="D227" i="20"/>
  <c r="D223" i="20"/>
  <c r="D217" i="20"/>
  <c r="D242" i="20"/>
  <c r="D237" i="20"/>
  <c r="D232" i="20"/>
  <c r="D226" i="20"/>
  <c r="D221" i="20"/>
  <c r="D218" i="20"/>
  <c r="D49" i="20"/>
  <c r="D45" i="20"/>
  <c r="D41" i="20"/>
  <c r="D15" i="20"/>
  <c r="D11" i="20"/>
  <c r="D7" i="20"/>
  <c r="D3" i="20"/>
  <c r="D241" i="20"/>
  <c r="D236" i="20"/>
  <c r="D230" i="20"/>
  <c r="D225" i="20"/>
  <c r="D220" i="20"/>
  <c r="D216" i="20"/>
  <c r="D48" i="20"/>
  <c r="D44" i="20"/>
  <c r="D14" i="20"/>
  <c r="D10" i="20"/>
  <c r="D6" i="20"/>
  <c r="D240" i="20"/>
  <c r="D224" i="20"/>
  <c r="D234" i="20"/>
  <c r="D43" i="20"/>
  <c r="D244" i="20"/>
  <c r="D238" i="20"/>
  <c r="D233" i="20"/>
  <c r="D228" i="20"/>
  <c r="D222" i="20"/>
  <c r="D219" i="20"/>
  <c r="D46" i="20"/>
  <c r="D42" i="20"/>
  <c r="D16" i="20"/>
  <c r="D12" i="20"/>
  <c r="D8" i="20"/>
  <c r="D4" i="20"/>
  <c r="D229" i="20"/>
  <c r="D47" i="20"/>
  <c r="D13" i="20"/>
  <c r="D9" i="20"/>
  <c r="D5" i="20"/>
  <c r="D17" i="20"/>
  <c r="N28" i="20"/>
  <c r="N27" i="20"/>
  <c r="N26" i="20"/>
  <c r="N29" i="20"/>
  <c r="J216" i="10"/>
  <c r="J219" i="10"/>
  <c r="J218" i="10"/>
  <c r="J220" i="10"/>
  <c r="J212" i="10"/>
  <c r="J217" i="10"/>
  <c r="J215" i="10"/>
  <c r="J214" i="10"/>
  <c r="J213" i="10"/>
  <c r="J135" i="10"/>
  <c r="J114" i="10"/>
  <c r="J129" i="10"/>
  <c r="J238" i="10"/>
  <c r="J236" i="10"/>
  <c r="J134" i="10"/>
  <c r="J156" i="10"/>
  <c r="J158" i="10"/>
  <c r="J123" i="10"/>
  <c r="J127" i="10"/>
  <c r="J119" i="10"/>
  <c r="J154" i="10"/>
  <c r="J130" i="10"/>
  <c r="J125" i="10"/>
  <c r="J161" i="10"/>
  <c r="J160" i="10"/>
  <c r="J159" i="10"/>
  <c r="J153" i="10"/>
  <c r="J155" i="10"/>
  <c r="J116" i="10"/>
  <c r="J157" i="10"/>
  <c r="J132" i="10"/>
  <c r="J115" i="10"/>
  <c r="J131" i="10"/>
  <c r="J133" i="10"/>
  <c r="J126" i="10"/>
  <c r="J128" i="10"/>
  <c r="J124" i="10"/>
  <c r="J122" i="10"/>
  <c r="J117" i="10"/>
  <c r="J118" i="10"/>
  <c r="J120" i="10"/>
  <c r="J112" i="10"/>
  <c r="J113" i="10"/>
  <c r="J175" i="10"/>
  <c r="J174" i="10"/>
  <c r="J173" i="10"/>
  <c r="J176" i="10"/>
  <c r="J172" i="10"/>
  <c r="J168" i="10"/>
  <c r="J169" i="10"/>
  <c r="J170" i="10"/>
  <c r="B61" i="1"/>
  <c r="B59" i="10" s="1"/>
  <c r="B57" i="1"/>
  <c r="B55" i="10" s="1"/>
  <c r="B60" i="1"/>
  <c r="B64" i="14" s="1"/>
  <c r="B56" i="1"/>
  <c r="B54" i="10" s="1"/>
  <c r="B59" i="1"/>
  <c r="B63" i="14" s="1"/>
  <c r="B55" i="1"/>
  <c r="B53" i="10" s="1"/>
  <c r="B58" i="1"/>
  <c r="B54" i="1"/>
  <c r="B58" i="14" s="1"/>
  <c r="B276" i="1"/>
  <c r="B261" i="1"/>
  <c r="B265" i="14" s="1"/>
  <c r="B245" i="1"/>
  <c r="B234" i="1"/>
  <c r="B238" i="14" s="1"/>
  <c r="B218" i="1"/>
  <c r="B222" i="14" s="1"/>
  <c r="B202" i="1"/>
  <c r="B187" i="1"/>
  <c r="B283" i="1"/>
  <c r="B287" i="14" s="1"/>
  <c r="B268" i="1"/>
  <c r="B252" i="1"/>
  <c r="B256" i="14" s="1"/>
  <c r="B238" i="1"/>
  <c r="B242" i="14" s="1"/>
  <c r="B209" i="1"/>
  <c r="B213" i="14" s="1"/>
  <c r="B194" i="1"/>
  <c r="B182" i="1"/>
  <c r="B179" i="10" s="1"/>
  <c r="B274" i="1"/>
  <c r="B259" i="1"/>
  <c r="B263" i="14" s="1"/>
  <c r="B243" i="1"/>
  <c r="B232" i="1"/>
  <c r="B236" i="14"/>
  <c r="B216" i="1"/>
  <c r="B200" i="1"/>
  <c r="B204" i="14" s="1"/>
  <c r="B185" i="1"/>
  <c r="B189" i="14" s="1"/>
  <c r="B277" i="1"/>
  <c r="B281" i="14" s="1"/>
  <c r="B262" i="1"/>
  <c r="B246" i="1"/>
  <c r="B250" i="14" s="1"/>
  <c r="B219" i="1"/>
  <c r="B203" i="1"/>
  <c r="B207" i="14" s="1"/>
  <c r="B188" i="1"/>
  <c r="B184" i="1"/>
  <c r="B188" i="14" s="1"/>
  <c r="B280" i="1"/>
  <c r="B284" i="14" s="1"/>
  <c r="B191" i="1"/>
  <c r="B195" i="14" s="1"/>
  <c r="B256" i="1"/>
  <c r="B263" i="1"/>
  <c r="B267" i="14" s="1"/>
  <c r="B189" i="1"/>
  <c r="B236" i="1"/>
  <c r="B192" i="1"/>
  <c r="B257" i="1"/>
  <c r="B261" i="14" s="1"/>
  <c r="B230" i="1"/>
  <c r="B214" i="1"/>
  <c r="B198" i="1"/>
  <c r="B202" i="14" s="1"/>
  <c r="B279" i="1"/>
  <c r="B283" i="14" s="1"/>
  <c r="B264" i="1"/>
  <c r="B268" i="14" s="1"/>
  <c r="B248" i="1"/>
  <c r="B221" i="1"/>
  <c r="B205" i="1"/>
  <c r="B190" i="1"/>
  <c r="B175" i="1"/>
  <c r="B179" i="14" s="1"/>
  <c r="B271" i="1"/>
  <c r="B255" i="1"/>
  <c r="B259" i="14" s="1"/>
  <c r="B241" i="1"/>
  <c r="B245" i="14" s="1"/>
  <c r="B225" i="1"/>
  <c r="B229" i="14" s="1"/>
  <c r="B212" i="1"/>
  <c r="B216" i="14" s="1"/>
  <c r="B258" i="1"/>
  <c r="B262" i="14" s="1"/>
  <c r="B235" i="14"/>
  <c r="B215" i="1"/>
  <c r="B199" i="1"/>
  <c r="B265" i="1"/>
  <c r="B176" i="1"/>
  <c r="B266" i="1"/>
  <c r="B284" i="1"/>
  <c r="B269" i="1"/>
  <c r="B253" i="1"/>
  <c r="B257" i="14" s="1"/>
  <c r="B239" i="1"/>
  <c r="B243" i="14" s="1"/>
  <c r="B210" i="1"/>
  <c r="B275" i="1"/>
  <c r="B279" i="14" s="1"/>
  <c r="B260" i="1"/>
  <c r="B244" i="1"/>
  <c r="B248" i="14" s="1"/>
  <c r="B233" i="1"/>
  <c r="B237" i="14" s="1"/>
  <c r="B217" i="1"/>
  <c r="B221" i="14" s="1"/>
  <c r="B201" i="1"/>
  <c r="B186" i="1"/>
  <c r="B282" i="1"/>
  <c r="B267" i="1"/>
  <c r="B271" i="14" s="1"/>
  <c r="B251" i="1"/>
  <c r="B237" i="1"/>
  <c r="B241" i="14" s="1"/>
  <c r="B208" i="1"/>
  <c r="B193" i="1"/>
  <c r="B197" i="14" s="1"/>
  <c r="B178" i="1"/>
  <c r="B182" i="14" s="1"/>
  <c r="B270" i="1"/>
  <c r="B274" i="14" s="1"/>
  <c r="B254" i="1"/>
  <c r="B240" i="1"/>
  <c r="B244" i="14" s="1"/>
  <c r="B211" i="1"/>
  <c r="B215" i="14" s="1"/>
  <c r="B249" i="1"/>
  <c r="B253" i="14" s="1"/>
  <c r="B206" i="1"/>
  <c r="B210" i="14" s="1"/>
  <c r="B213" i="1"/>
  <c r="B217" i="14" s="1"/>
  <c r="B278" i="1"/>
  <c r="B220" i="1"/>
  <c r="B281" i="1"/>
  <c r="B223" i="1"/>
  <c r="B227" i="14" s="1"/>
  <c r="B177" i="1"/>
  <c r="B222" i="1"/>
  <c r="B197" i="1"/>
  <c r="B247" i="1"/>
  <c r="B251" i="14" s="1"/>
  <c r="B204" i="1"/>
  <c r="B250" i="1"/>
  <c r="B254" i="14" s="1"/>
  <c r="J208" i="10"/>
  <c r="J210" i="10"/>
  <c r="J209" i="10"/>
  <c r="J211" i="10"/>
  <c r="J231" i="10"/>
  <c r="J244" i="10"/>
  <c r="J242" i="10"/>
  <c r="J59" i="10"/>
  <c r="J55" i="10"/>
  <c r="J51" i="10"/>
  <c r="J45" i="10"/>
  <c r="J245" i="10"/>
  <c r="J46" i="10"/>
  <c r="J241" i="10"/>
  <c r="J58" i="10"/>
  <c r="J54" i="10"/>
  <c r="J48" i="10"/>
  <c r="J243" i="10"/>
  <c r="J56" i="10"/>
  <c r="J240" i="10"/>
  <c r="J152" i="10"/>
  <c r="J57" i="10"/>
  <c r="J53" i="10"/>
  <c r="J47" i="10"/>
  <c r="J31" i="10"/>
  <c r="J52" i="10"/>
  <c r="J225" i="10"/>
  <c r="J224" i="10"/>
  <c r="J222" i="10"/>
  <c r="J223" i="10"/>
  <c r="J136" i="10"/>
  <c r="J260" i="10"/>
  <c r="J255" i="10"/>
  <c r="J252" i="10"/>
  <c r="J248" i="10"/>
  <c r="J256" i="10"/>
  <c r="J259" i="10"/>
  <c r="J258" i="10"/>
  <c r="J257" i="10"/>
  <c r="J254" i="10"/>
  <c r="J251" i="10"/>
  <c r="J253" i="10"/>
  <c r="J250" i="10"/>
  <c r="J249" i="10"/>
  <c r="J247" i="10"/>
  <c r="J246" i="10"/>
  <c r="J237" i="10"/>
  <c r="E264" i="10"/>
  <c r="H266" i="10"/>
  <c r="C263" i="10"/>
  <c r="D267" i="10"/>
  <c r="I267" i="10"/>
  <c r="G265" i="10"/>
  <c r="D263" i="10"/>
  <c r="D264" i="10"/>
  <c r="E268" i="10"/>
  <c r="E266" i="10"/>
  <c r="C266" i="10"/>
  <c r="H263" i="10"/>
  <c r="F267" i="10"/>
  <c r="D265" i="10"/>
  <c r="C264" i="10"/>
  <c r="I266" i="10"/>
  <c r="F264" i="10"/>
  <c r="G264" i="10"/>
  <c r="H267" i="10"/>
  <c r="F268" i="10"/>
  <c r="G268" i="10"/>
  <c r="C268" i="10"/>
  <c r="I265" i="10"/>
  <c r="G263" i="10"/>
  <c r="E263" i="10"/>
  <c r="D266" i="10"/>
  <c r="F266" i="10"/>
  <c r="I264" i="10"/>
  <c r="C267" i="10"/>
  <c r="E265" i="10"/>
  <c r="D268" i="10"/>
  <c r="G266" i="10"/>
  <c r="H265" i="10"/>
  <c r="H264" i="10"/>
  <c r="I263" i="10"/>
  <c r="E267" i="10"/>
  <c r="F265" i="10"/>
  <c r="C265" i="10"/>
  <c r="G267" i="10"/>
  <c r="F263" i="10"/>
  <c r="I268" i="10"/>
  <c r="H268" i="10"/>
  <c r="J262" i="10"/>
  <c r="J261" i="10"/>
  <c r="C276" i="10"/>
  <c r="D274" i="10"/>
  <c r="D275" i="10"/>
  <c r="G276" i="10"/>
  <c r="G272" i="10"/>
  <c r="H280" i="10"/>
  <c r="H274" i="10"/>
  <c r="G275" i="10"/>
  <c r="G278" i="10"/>
  <c r="E275" i="10"/>
  <c r="E272" i="10"/>
  <c r="I271" i="10"/>
  <c r="D277" i="10"/>
  <c r="D281" i="10"/>
  <c r="D270" i="10"/>
  <c r="E278" i="10"/>
  <c r="G273" i="10"/>
  <c r="E274" i="10"/>
  <c r="H275" i="10"/>
  <c r="D271" i="10"/>
  <c r="F278" i="10"/>
  <c r="C273" i="10"/>
  <c r="H276" i="10"/>
  <c r="F277" i="10"/>
  <c r="E280" i="10"/>
  <c r="C278" i="10"/>
  <c r="C281" i="10"/>
  <c r="C271" i="10"/>
  <c r="D280" i="10"/>
  <c r="H273" i="10"/>
  <c r="D278" i="10"/>
  <c r="G274" i="10"/>
  <c r="I280" i="10"/>
  <c r="F280" i="10"/>
  <c r="C275" i="10"/>
  <c r="H277" i="10"/>
  <c r="E276" i="10"/>
  <c r="F279" i="10"/>
  <c r="H279" i="10"/>
  <c r="F271" i="10"/>
  <c r="G281" i="10"/>
  <c r="C279" i="10"/>
  <c r="F275" i="10"/>
  <c r="E277" i="10"/>
  <c r="I270" i="10"/>
  <c r="I278" i="10"/>
  <c r="F276" i="10"/>
  <c r="E279" i="10"/>
  <c r="E271" i="10"/>
  <c r="H270" i="10"/>
  <c r="E270" i="10"/>
  <c r="H272" i="10"/>
  <c r="C270" i="10"/>
  <c r="F272" i="10"/>
  <c r="F274" i="10"/>
  <c r="D276" i="10"/>
  <c r="F281" i="10"/>
  <c r="G280" i="10"/>
  <c r="E281" i="10"/>
  <c r="I275" i="10"/>
  <c r="D279" i="10"/>
  <c r="I281" i="10"/>
  <c r="H281" i="10"/>
  <c r="I276" i="10"/>
  <c r="J276" i="10"/>
  <c r="H271" i="10"/>
  <c r="G279" i="10"/>
  <c r="F270" i="10"/>
  <c r="G270" i="10"/>
  <c r="I274" i="10"/>
  <c r="C272" i="10"/>
  <c r="C277" i="10"/>
  <c r="I277" i="10"/>
  <c r="D272" i="10"/>
  <c r="I272" i="10"/>
  <c r="C280" i="10"/>
  <c r="G271" i="10"/>
  <c r="E273" i="10"/>
  <c r="C274" i="10"/>
  <c r="F273" i="10"/>
  <c r="I273" i="10"/>
  <c r="J273" i="10"/>
  <c r="D273" i="10"/>
  <c r="I279" i="10"/>
  <c r="G277" i="10"/>
  <c r="H278" i="10"/>
  <c r="J268" i="10"/>
  <c r="J267" i="10"/>
  <c r="J265" i="10"/>
  <c r="J266" i="10"/>
  <c r="J264" i="10"/>
  <c r="J263" i="10"/>
  <c r="J270" i="10"/>
  <c r="J271" i="10"/>
  <c r="J278" i="10"/>
  <c r="J280" i="10"/>
  <c r="J277" i="10"/>
  <c r="J281" i="10"/>
  <c r="J272" i="10"/>
  <c r="J275" i="10"/>
  <c r="J279" i="10"/>
  <c r="J274" i="10"/>
  <c r="N62" i="20"/>
  <c r="N90" i="20"/>
  <c r="N78" i="20"/>
  <c r="K88" i="20" s="1"/>
  <c r="N77" i="20"/>
  <c r="B109" i="10"/>
  <c r="N103" i="20"/>
  <c r="D79" i="20"/>
  <c r="N151" i="20"/>
  <c r="N158" i="20"/>
  <c r="N142" i="20"/>
  <c r="B94" i="14"/>
  <c r="K13" i="2"/>
  <c r="J13" i="2" s="1"/>
  <c r="B264" i="14"/>
  <c r="B41" i="14"/>
  <c r="D82" i="20"/>
  <c r="N139" i="20"/>
  <c r="N124" i="20"/>
  <c r="N99" i="20"/>
  <c r="B277" i="14"/>
  <c r="B33" i="10"/>
  <c r="B34" i="10"/>
  <c r="B70" i="10"/>
  <c r="N73" i="20"/>
  <c r="D31" i="20" l="1"/>
  <c r="P23" i="20"/>
  <c r="A187" i="14"/>
  <c r="D35" i="20"/>
  <c r="N182" i="20"/>
  <c r="N202" i="20"/>
  <c r="D36" i="20"/>
  <c r="D40" i="20"/>
  <c r="N199" i="20"/>
  <c r="D33" i="20"/>
  <c r="D163" i="20"/>
  <c r="D39" i="20"/>
  <c r="D34" i="20"/>
  <c r="D32" i="20"/>
  <c r="N191" i="20"/>
  <c r="N177" i="20"/>
  <c r="D30" i="20"/>
  <c r="N169" i="20"/>
  <c r="D37" i="20"/>
  <c r="D164" i="20"/>
  <c r="N170" i="20"/>
  <c r="D162" i="20"/>
  <c r="N252" i="20"/>
  <c r="N146" i="20"/>
  <c r="K6" i="2"/>
  <c r="J6" i="2" s="1"/>
  <c r="K50" i="20"/>
  <c r="K51" i="20"/>
  <c r="K52" i="20"/>
  <c r="P21" i="20"/>
  <c r="K53" i="20"/>
  <c r="K56" i="20"/>
  <c r="B87" i="10"/>
  <c r="B141" i="10"/>
  <c r="N70" i="20"/>
  <c r="K70" i="20" s="1"/>
  <c r="B80" i="10"/>
  <c r="B89" i="10"/>
  <c r="D65" i="20"/>
  <c r="N75" i="20"/>
  <c r="N130" i="20"/>
  <c r="D78" i="20"/>
  <c r="N115" i="20"/>
  <c r="N197" i="20"/>
  <c r="N201" i="20"/>
  <c r="B219" i="10"/>
  <c r="B63" i="10"/>
  <c r="B142" i="10"/>
  <c r="D90" i="20"/>
  <c r="N110" i="20"/>
  <c r="B100" i="10"/>
  <c r="N178" i="20"/>
  <c r="B157" i="10"/>
  <c r="A66" i="14"/>
  <c r="N123" i="20"/>
  <c r="N67" i="20"/>
  <c r="N179" i="20"/>
  <c r="D95" i="20"/>
  <c r="B174" i="10"/>
  <c r="B124" i="10"/>
  <c r="N144" i="20"/>
  <c r="D92" i="20"/>
  <c r="N63" i="20"/>
  <c r="N138" i="20"/>
  <c r="K54" i="20"/>
  <c r="N203" i="20"/>
  <c r="N161" i="20"/>
  <c r="B191" i="10"/>
  <c r="B61" i="10"/>
  <c r="N180" i="20"/>
  <c r="N145" i="20"/>
  <c r="B281" i="10"/>
  <c r="N54" i="20"/>
  <c r="N137" i="20"/>
  <c r="N149" i="20"/>
  <c r="N134" i="20"/>
  <c r="N57" i="20"/>
  <c r="B216" i="10"/>
  <c r="N52" i="20"/>
  <c r="B172" i="10"/>
  <c r="D87" i="20"/>
  <c r="N59" i="20"/>
  <c r="N235" i="20"/>
  <c r="B104" i="10"/>
  <c r="K55" i="20"/>
  <c r="N86" i="20"/>
  <c r="B105" i="10"/>
  <c r="N88" i="20"/>
  <c r="N93" i="20"/>
  <c r="B76" i="10"/>
  <c r="N129" i="20"/>
  <c r="D67" i="20"/>
  <c r="N56" i="20"/>
  <c r="B107" i="10"/>
  <c r="N159" i="20"/>
  <c r="N194" i="20"/>
  <c r="N120" i="20"/>
  <c r="N60" i="20"/>
  <c r="N174" i="20"/>
  <c r="N215" i="20"/>
  <c r="N204" i="20"/>
  <c r="N200" i="20"/>
  <c r="B217" i="10"/>
  <c r="B183" i="10"/>
  <c r="B212" i="10"/>
  <c r="N53" i="20"/>
  <c r="D69" i="20"/>
  <c r="B108" i="10"/>
  <c r="B127" i="10"/>
  <c r="N72" i="20"/>
  <c r="N172" i="20"/>
  <c r="N91" i="20"/>
  <c r="N109" i="20"/>
  <c r="D81" i="20"/>
  <c r="N97" i="20"/>
  <c r="N100" i="20"/>
  <c r="N101" i="20"/>
  <c r="B198" i="10"/>
  <c r="B227" i="10"/>
  <c r="B199" i="10"/>
  <c r="D73" i="20"/>
  <c r="K58" i="20"/>
  <c r="K102" i="20"/>
  <c r="K103" i="20"/>
  <c r="N111" i="20"/>
  <c r="N50" i="20"/>
  <c r="N108" i="20"/>
  <c r="N190" i="20"/>
  <c r="B194" i="10"/>
  <c r="N128" i="20"/>
  <c r="N94" i="20"/>
  <c r="N92" i="20"/>
  <c r="N55" i="20"/>
  <c r="N51" i="20"/>
  <c r="N141" i="20"/>
  <c r="N207" i="20"/>
  <c r="N85" i="20"/>
  <c r="D66" i="20"/>
  <c r="N168" i="20"/>
  <c r="B178" i="10"/>
  <c r="N82" i="20"/>
  <c r="N229" i="20"/>
  <c r="N175" i="20"/>
  <c r="N79" i="20"/>
  <c r="K81" i="20" s="1"/>
  <c r="N119" i="20"/>
  <c r="B72" i="10"/>
  <c r="B64" i="10"/>
  <c r="N64" i="20"/>
  <c r="N71" i="20"/>
  <c r="D83" i="20"/>
  <c r="D94" i="20"/>
  <c r="D88" i="20"/>
  <c r="B186" i="10"/>
  <c r="B73" i="10"/>
  <c r="B132" i="10"/>
  <c r="B151" i="10"/>
  <c r="K104" i="20"/>
  <c r="N184" i="20"/>
  <c r="N105" i="20"/>
  <c r="D89" i="20"/>
  <c r="N74" i="20"/>
  <c r="B205" i="10"/>
  <c r="N140" i="20"/>
  <c r="N87" i="20"/>
  <c r="N125" i="20"/>
  <c r="N122" i="20"/>
  <c r="B129" i="10"/>
  <c r="D96" i="20"/>
  <c r="N107" i="20"/>
  <c r="N195" i="20"/>
  <c r="N208" i="20"/>
  <c r="N211" i="20"/>
  <c r="B213" i="10"/>
  <c r="B166" i="10"/>
  <c r="N80" i="20"/>
  <c r="N83" i="20"/>
  <c r="N181" i="20"/>
  <c r="N136" i="20"/>
  <c r="D86" i="20"/>
  <c r="B131" i="10"/>
  <c r="B167" i="10"/>
  <c r="N113" i="20"/>
  <c r="N162" i="20"/>
  <c r="N189" i="20"/>
  <c r="N106" i="20"/>
  <c r="B229" i="10"/>
  <c r="N112" i="20"/>
  <c r="N89" i="20"/>
  <c r="N209" i="20"/>
  <c r="N102" i="20"/>
  <c r="N65" i="20"/>
  <c r="N185" i="20"/>
  <c r="N213" i="20"/>
  <c r="N127" i="20"/>
  <c r="B96" i="10"/>
  <c r="B116" i="10"/>
  <c r="B169" i="10"/>
  <c r="K105" i="20"/>
  <c r="K221" i="20"/>
  <c r="K222" i="20"/>
  <c r="K226" i="20"/>
  <c r="K227" i="20"/>
  <c r="K59" i="20"/>
  <c r="K238" i="20"/>
  <c r="K62" i="20"/>
  <c r="K242" i="20"/>
  <c r="K63" i="20"/>
  <c r="K243" i="20"/>
  <c r="K97" i="20"/>
  <c r="K245" i="20"/>
  <c r="K98" i="20"/>
  <c r="K249" i="20"/>
  <c r="K99" i="20"/>
  <c r="K252" i="20"/>
  <c r="K100" i="20"/>
  <c r="K253" i="20"/>
  <c r="K101" i="20"/>
  <c r="K256" i="20"/>
  <c r="N232" i="20"/>
  <c r="K220" i="20"/>
  <c r="K236" i="20"/>
  <c r="K237" i="20"/>
  <c r="K254" i="20"/>
  <c r="K223" i="20"/>
  <c r="K239" i="20"/>
  <c r="K255" i="20"/>
  <c r="K224" i="20"/>
  <c r="K240" i="20"/>
  <c r="N244" i="20"/>
  <c r="B263" i="10"/>
  <c r="N241" i="20"/>
  <c r="A246" i="14"/>
  <c r="N222" i="20"/>
  <c r="K225" i="20"/>
  <c r="K241" i="20"/>
  <c r="K163" i="20"/>
  <c r="K164" i="20"/>
  <c r="K165" i="20"/>
  <c r="K228" i="20"/>
  <c r="K244" i="20"/>
  <c r="K166" i="20"/>
  <c r="K167" i="20"/>
  <c r="K229" i="20"/>
  <c r="D91" i="20"/>
  <c r="B86" i="10"/>
  <c r="N104" i="20"/>
  <c r="N247" i="20"/>
  <c r="N152" i="20"/>
  <c r="N205" i="20"/>
  <c r="N84" i="20"/>
  <c r="N256" i="20"/>
  <c r="N98" i="20"/>
  <c r="D84" i="20"/>
  <c r="B233" i="10"/>
  <c r="B242" i="10"/>
  <c r="B91" i="10"/>
  <c r="K230" i="20"/>
  <c r="K246" i="20"/>
  <c r="K168" i="20"/>
  <c r="N217" i="20"/>
  <c r="B257" i="10"/>
  <c r="K57" i="20"/>
  <c r="K231" i="20"/>
  <c r="K247" i="20"/>
  <c r="K169" i="20"/>
  <c r="K216" i="20"/>
  <c r="K232" i="20"/>
  <c r="K248" i="20"/>
  <c r="K170" i="20"/>
  <c r="K217" i="20"/>
  <c r="K233" i="20"/>
  <c r="K171" i="20"/>
  <c r="K60" i="20"/>
  <c r="K218" i="20"/>
  <c r="K234" i="20"/>
  <c r="K250" i="20"/>
  <c r="K172" i="20"/>
  <c r="N251" i="20"/>
  <c r="B222" i="10"/>
  <c r="N219" i="20"/>
  <c r="D215" i="20"/>
  <c r="N233" i="20"/>
  <c r="B275" i="10"/>
  <c r="N239" i="20"/>
  <c r="B224" i="10"/>
  <c r="N237" i="20"/>
  <c r="B223" i="10"/>
  <c r="N254" i="20"/>
  <c r="N228" i="20"/>
  <c r="N238" i="20"/>
  <c r="B252" i="10"/>
  <c r="N216" i="20"/>
  <c r="B271" i="10"/>
  <c r="N250" i="20"/>
  <c r="N224" i="20"/>
  <c r="K61" i="20"/>
  <c r="K219" i="20"/>
  <c r="K173" i="20"/>
  <c r="P22" i="20"/>
  <c r="B103" i="14"/>
  <c r="B131" i="14"/>
  <c r="E21" i="2"/>
  <c r="B111" i="14"/>
  <c r="B237" i="10"/>
  <c r="B225" i="10"/>
  <c r="N253" i="20"/>
  <c r="N206" i="20"/>
  <c r="N255" i="20"/>
  <c r="N164" i="20"/>
  <c r="B196" i="10"/>
  <c r="B268" i="10"/>
  <c r="B253" i="10"/>
  <c r="N249" i="20"/>
  <c r="F21" i="2"/>
  <c r="H67" i="14"/>
  <c r="R50" i="20" s="1"/>
  <c r="O53" i="20"/>
  <c r="F65" i="1"/>
  <c r="F64" i="1"/>
  <c r="B201" i="10"/>
  <c r="B208" i="14"/>
  <c r="B235" i="10"/>
  <c r="N220" i="20"/>
  <c r="B88" i="10"/>
  <c r="N246" i="20"/>
  <c r="N225" i="20"/>
  <c r="N227" i="20"/>
  <c r="B208" i="10"/>
  <c r="B262" i="10"/>
  <c r="B240" i="10"/>
  <c r="D130" i="18"/>
  <c r="D179" i="18"/>
  <c r="D269" i="18"/>
  <c r="B156" i="18"/>
  <c r="D127" i="18"/>
  <c r="C206" i="18"/>
  <c r="B244" i="18"/>
  <c r="D236" i="18"/>
  <c r="C213" i="18"/>
  <c r="B189" i="18"/>
  <c r="B269" i="18"/>
  <c r="D156" i="18"/>
  <c r="B127" i="18"/>
  <c r="C112" i="18"/>
  <c r="B155" i="18"/>
  <c r="B102" i="18"/>
  <c r="B75" i="18"/>
  <c r="C121" i="18"/>
  <c r="B110" i="18"/>
  <c r="B83" i="18"/>
  <c r="C149" i="18"/>
  <c r="C261" i="18"/>
  <c r="C237" i="18"/>
  <c r="D206" i="18"/>
  <c r="C179" i="18"/>
  <c r="C246" i="18"/>
  <c r="D271" i="18"/>
  <c r="C244" i="18"/>
  <c r="D213" i="18"/>
  <c r="D189" i="18"/>
  <c r="C188" i="18"/>
  <c r="D205" i="18"/>
  <c r="D75" i="18"/>
  <c r="D110" i="18"/>
  <c r="C83" i="18"/>
  <c r="B133" i="18"/>
  <c r="C120" i="18"/>
  <c r="B92" i="18"/>
  <c r="B69" i="18"/>
  <c r="D261" i="18"/>
  <c r="B237" i="18"/>
  <c r="C190" i="18"/>
  <c r="C207" i="18"/>
  <c r="B252" i="18"/>
  <c r="B186" i="18"/>
  <c r="D254" i="18"/>
  <c r="D200" i="18"/>
  <c r="D188" i="18"/>
  <c r="B129" i="18"/>
  <c r="D129" i="18"/>
  <c r="B147" i="18"/>
  <c r="D74" i="18"/>
  <c r="D270" i="18"/>
  <c r="D68" i="18"/>
  <c r="C111" i="18"/>
  <c r="D140" i="18"/>
  <c r="B68" i="18"/>
  <c r="C139" i="18"/>
  <c r="D111" i="18"/>
  <c r="C84" i="18"/>
  <c r="B93" i="18"/>
  <c r="C133" i="18"/>
  <c r="D120" i="18"/>
  <c r="C92" i="18"/>
  <c r="C245" i="18"/>
  <c r="C214" i="18"/>
  <c r="D190" i="18"/>
  <c r="C252" i="18"/>
  <c r="C197" i="18"/>
  <c r="B196" i="18"/>
  <c r="B130" i="18"/>
  <c r="D226" i="18"/>
  <c r="C140" i="18"/>
  <c r="B139" i="18"/>
  <c r="D84" i="18"/>
  <c r="D93" i="18"/>
  <c r="B128" i="18"/>
  <c r="B100" i="18"/>
  <c r="D245" i="18"/>
  <c r="D214" i="18"/>
  <c r="B197" i="18"/>
  <c r="C182" i="18"/>
  <c r="C195" i="18"/>
  <c r="B217" i="18"/>
  <c r="C196" i="18"/>
  <c r="C119" i="18"/>
  <c r="C155" i="18"/>
  <c r="B77" i="18"/>
  <c r="B165" i="18"/>
  <c r="C141" i="18"/>
  <c r="B260" i="18"/>
  <c r="D55" i="15"/>
  <c r="E55" i="15" s="1"/>
  <c r="D61" i="15"/>
  <c r="E61" i="15" s="1"/>
  <c r="D87" i="15"/>
  <c r="E87" i="15" s="1"/>
  <c r="D93" i="15"/>
  <c r="E93" i="15" s="1"/>
  <c r="D119" i="15"/>
  <c r="E119" i="15" s="1"/>
  <c r="D125" i="15"/>
  <c r="E125" i="15" s="1"/>
  <c r="D151" i="15"/>
  <c r="E151" i="15" s="1"/>
  <c r="D157" i="15"/>
  <c r="E157" i="15" s="1"/>
  <c r="D183" i="15"/>
  <c r="E183" i="15" s="1"/>
  <c r="D189" i="15"/>
  <c r="E189" i="15" s="1"/>
  <c r="D215" i="15"/>
  <c r="E215" i="15" s="1"/>
  <c r="D221" i="15"/>
  <c r="E221" i="15" s="1"/>
  <c r="D67" i="15"/>
  <c r="E67" i="15" s="1"/>
  <c r="D99" i="15"/>
  <c r="E99" i="15" s="1"/>
  <c r="D131" i="15"/>
  <c r="E131" i="15" s="1"/>
  <c r="D163" i="15"/>
  <c r="E163" i="15" s="1"/>
  <c r="D195" i="15"/>
  <c r="E195" i="15" s="1"/>
  <c r="D63" i="15"/>
  <c r="E63" i="15" s="1"/>
  <c r="D75" i="15"/>
  <c r="E75" i="15" s="1"/>
  <c r="D95" i="15"/>
  <c r="E95" i="15" s="1"/>
  <c r="D107" i="15"/>
  <c r="E107" i="15" s="1"/>
  <c r="D127" i="15"/>
  <c r="E127" i="15" s="1"/>
  <c r="D139" i="15"/>
  <c r="E139" i="15" s="1"/>
  <c r="D159" i="15"/>
  <c r="E159" i="15" s="1"/>
  <c r="D171" i="15"/>
  <c r="E171" i="15" s="1"/>
  <c r="D191" i="15"/>
  <c r="E191" i="15" s="1"/>
  <c r="D203" i="15"/>
  <c r="E203" i="15" s="1"/>
  <c r="D223" i="15"/>
  <c r="E223" i="15" s="1"/>
  <c r="D58" i="15"/>
  <c r="E58" i="15" s="1"/>
  <c r="D90" i="15"/>
  <c r="E90" i="15" s="1"/>
  <c r="D122" i="15"/>
  <c r="E122" i="15" s="1"/>
  <c r="D133" i="15"/>
  <c r="E133" i="15" s="1"/>
  <c r="D154" i="15"/>
  <c r="E154" i="15" s="1"/>
  <c r="D165" i="15"/>
  <c r="E165" i="15" s="1"/>
  <c r="D197" i="15"/>
  <c r="E197" i="15" s="1"/>
  <c r="D218" i="15"/>
  <c r="E218" i="15" s="1"/>
  <c r="D69" i="15"/>
  <c r="E69" i="15" s="1"/>
  <c r="D101" i="15"/>
  <c r="E101" i="15" s="1"/>
  <c r="D186" i="15"/>
  <c r="E186" i="15" s="1"/>
  <c r="D50" i="15"/>
  <c r="E50" i="15" s="1"/>
  <c r="D79" i="15"/>
  <c r="E79" i="15" s="1"/>
  <c r="D91" i="15"/>
  <c r="E91" i="15" s="1"/>
  <c r="D111" i="15"/>
  <c r="E111" i="15" s="1"/>
  <c r="D123" i="15"/>
  <c r="E123" i="15" s="1"/>
  <c r="D143" i="15"/>
  <c r="E143" i="15" s="1"/>
  <c r="D155" i="15"/>
  <c r="E155" i="15" s="1"/>
  <c r="D181" i="15"/>
  <c r="E181" i="15" s="1"/>
  <c r="D213" i="15"/>
  <c r="E213" i="15" s="1"/>
  <c r="H263" i="14"/>
  <c r="D59" i="15"/>
  <c r="E59" i="15" s="1"/>
  <c r="D85" i="15"/>
  <c r="E85" i="15" s="1"/>
  <c r="D117" i="15"/>
  <c r="E117" i="15" s="1"/>
  <c r="D149" i="15"/>
  <c r="E149" i="15" s="1"/>
  <c r="D175" i="15"/>
  <c r="E175" i="15" s="1"/>
  <c r="D207" i="15"/>
  <c r="E207" i="15" s="1"/>
  <c r="H191" i="14"/>
  <c r="F38" i="1"/>
  <c r="H41" i="14"/>
  <c r="R27" i="20" s="1"/>
  <c r="S27" i="20" s="1"/>
  <c r="J27" i="20" s="1"/>
  <c r="F37" i="1"/>
  <c r="F41" i="14"/>
  <c r="H93" i="14"/>
  <c r="F93" i="14"/>
  <c r="O50" i="20"/>
  <c r="O20" i="20"/>
  <c r="P20" i="20" s="1"/>
  <c r="D62" i="15"/>
  <c r="E62" i="15" s="1"/>
  <c r="D65" i="15"/>
  <c r="E65" i="15" s="1"/>
  <c r="D68" i="15"/>
  <c r="E68" i="15" s="1"/>
  <c r="D94" i="15"/>
  <c r="E94" i="15" s="1"/>
  <c r="D97" i="15"/>
  <c r="E97" i="15" s="1"/>
  <c r="D100" i="15"/>
  <c r="E100" i="15" s="1"/>
  <c r="D126" i="15"/>
  <c r="E126" i="15" s="1"/>
  <c r="D129" i="15"/>
  <c r="E129" i="15" s="1"/>
  <c r="D132" i="15"/>
  <c r="E132" i="15" s="1"/>
  <c r="D158" i="15"/>
  <c r="E158" i="15" s="1"/>
  <c r="D161" i="15"/>
  <c r="E161" i="15" s="1"/>
  <c r="D164" i="15"/>
  <c r="E164" i="15" s="1"/>
  <c r="D190" i="15"/>
  <c r="E190" i="15" s="1"/>
  <c r="D193" i="15"/>
  <c r="E193" i="15" s="1"/>
  <c r="D196" i="15"/>
  <c r="E196" i="15" s="1"/>
  <c r="D222" i="15"/>
  <c r="E222" i="15" s="1"/>
  <c r="D225" i="15"/>
  <c r="E225" i="15" s="1"/>
  <c r="H111" i="14"/>
  <c r="H88" i="14"/>
  <c r="H181" i="14"/>
  <c r="R54" i="20"/>
  <c r="H101" i="14"/>
  <c r="F55" i="1"/>
  <c r="H135" i="14"/>
  <c r="R28" i="20"/>
  <c r="S28" i="20" s="1"/>
  <c r="J28" i="20" s="1"/>
  <c r="F79" i="14"/>
  <c r="F92" i="14"/>
  <c r="F114" i="14"/>
  <c r="H114" i="14"/>
  <c r="F172" i="14"/>
  <c r="H172" i="14"/>
  <c r="H201" i="14"/>
  <c r="F201" i="14"/>
  <c r="F229" i="14"/>
  <c r="F238" i="14"/>
  <c r="F254" i="14"/>
  <c r="H285" i="14"/>
  <c r="F63" i="1"/>
  <c r="D53" i="15"/>
  <c r="E53" i="15" s="1"/>
  <c r="D82" i="15"/>
  <c r="E82" i="15" s="1"/>
  <c r="D114" i="15"/>
  <c r="E114" i="15" s="1"/>
  <c r="D146" i="15"/>
  <c r="E146" i="15" s="1"/>
  <c r="D178" i="15"/>
  <c r="E178" i="15" s="1"/>
  <c r="D187" i="15"/>
  <c r="E187" i="15" s="1"/>
  <c r="D210" i="15"/>
  <c r="E210" i="15" s="1"/>
  <c r="D219" i="15"/>
  <c r="E219" i="15" s="1"/>
  <c r="F179" i="14"/>
  <c r="H179" i="14"/>
  <c r="O51" i="20"/>
  <c r="D51" i="15"/>
  <c r="E51" i="15" s="1"/>
  <c r="D71" i="15"/>
  <c r="E71" i="15" s="1"/>
  <c r="D74" i="15"/>
  <c r="E74" i="15" s="1"/>
  <c r="D77" i="15"/>
  <c r="E77" i="15" s="1"/>
  <c r="D83" i="15"/>
  <c r="E83" i="15" s="1"/>
  <c r="D103" i="15"/>
  <c r="E103" i="15" s="1"/>
  <c r="D106" i="15"/>
  <c r="E106" i="15" s="1"/>
  <c r="D109" i="15"/>
  <c r="E109" i="15" s="1"/>
  <c r="D115" i="15"/>
  <c r="E115" i="15" s="1"/>
  <c r="D135" i="15"/>
  <c r="E135" i="15" s="1"/>
  <c r="D138" i="15"/>
  <c r="E138" i="15" s="1"/>
  <c r="D141" i="15"/>
  <c r="E141" i="15" s="1"/>
  <c r="D147" i="15"/>
  <c r="E147" i="15" s="1"/>
  <c r="D167" i="15"/>
  <c r="E167" i="15" s="1"/>
  <c r="D170" i="15"/>
  <c r="E170" i="15" s="1"/>
  <c r="D173" i="15"/>
  <c r="E173" i="15" s="1"/>
  <c r="D179" i="15"/>
  <c r="E179" i="15" s="1"/>
  <c r="D199" i="15"/>
  <c r="E199" i="15" s="1"/>
  <c r="D202" i="15"/>
  <c r="E202" i="15" s="1"/>
  <c r="D205" i="15"/>
  <c r="E205" i="15" s="1"/>
  <c r="D211" i="15"/>
  <c r="E211" i="15" s="1"/>
  <c r="H251" i="14"/>
  <c r="H81" i="14"/>
  <c r="H177" i="14"/>
  <c r="H215" i="14"/>
  <c r="F54" i="1"/>
  <c r="O38" i="20"/>
  <c r="P38" i="20" s="1"/>
  <c r="F134" i="14"/>
  <c r="R29" i="20"/>
  <c r="S29" i="20" s="1"/>
  <c r="J29" i="20" s="1"/>
  <c r="F87" i="14"/>
  <c r="F103" i="14"/>
  <c r="F195" i="14"/>
  <c r="F217" i="14"/>
  <c r="F250" i="14"/>
  <c r="O42" i="20"/>
  <c r="P42" i="20" s="1"/>
  <c r="O28" i="20"/>
  <c r="P28" i="20" s="1"/>
  <c r="O34" i="20"/>
  <c r="P34" i="20" s="1"/>
  <c r="O54" i="20"/>
  <c r="O27" i="20"/>
  <c r="P27" i="20" s="1"/>
  <c r="O49" i="20"/>
  <c r="P49" i="20" s="1"/>
  <c r="R41" i="20"/>
  <c r="S41" i="20" s="1"/>
  <c r="J41" i="20" s="1"/>
  <c r="O52" i="20"/>
  <c r="D54" i="15"/>
  <c r="E54" i="15" s="1"/>
  <c r="D57" i="15"/>
  <c r="E57" i="15" s="1"/>
  <c r="D60" i="15"/>
  <c r="E60" i="15" s="1"/>
  <c r="D86" i="15"/>
  <c r="E86" i="15" s="1"/>
  <c r="D89" i="15"/>
  <c r="E89" i="15" s="1"/>
  <c r="D92" i="15"/>
  <c r="E92" i="15" s="1"/>
  <c r="D118" i="15"/>
  <c r="E118" i="15" s="1"/>
  <c r="D121" i="15"/>
  <c r="E121" i="15" s="1"/>
  <c r="D124" i="15"/>
  <c r="E124" i="15" s="1"/>
  <c r="D150" i="15"/>
  <c r="E150" i="15" s="1"/>
  <c r="D153" i="15"/>
  <c r="E153" i="15" s="1"/>
  <c r="D156" i="15"/>
  <c r="E156" i="15" s="1"/>
  <c r="D182" i="15"/>
  <c r="E182" i="15" s="1"/>
  <c r="D185" i="15"/>
  <c r="E185" i="15" s="1"/>
  <c r="D188" i="15"/>
  <c r="E188" i="15" s="1"/>
  <c r="D214" i="15"/>
  <c r="E214" i="15" s="1"/>
  <c r="D217" i="15"/>
  <c r="E217" i="15" s="1"/>
  <c r="H85" i="14"/>
  <c r="H218" i="14"/>
  <c r="H156" i="14"/>
  <c r="H206" i="14"/>
  <c r="F59" i="1"/>
  <c r="O37" i="20"/>
  <c r="P37" i="20" s="1"/>
  <c r="F67" i="14"/>
  <c r="F75" i="14"/>
  <c r="H174" i="14"/>
  <c r="F174" i="14"/>
  <c r="F204" i="14"/>
  <c r="F240" i="14"/>
  <c r="F261" i="14"/>
  <c r="H287" i="14"/>
  <c r="F287" i="14"/>
  <c r="D224" i="15"/>
  <c r="E224" i="15" s="1"/>
  <c r="D216" i="15"/>
  <c r="E216" i="15" s="1"/>
  <c r="D208" i="15"/>
  <c r="E208" i="15" s="1"/>
  <c r="D200" i="15"/>
  <c r="E200" i="15" s="1"/>
  <c r="D192" i="15"/>
  <c r="E192" i="15" s="1"/>
  <c r="D184" i="15"/>
  <c r="E184" i="15" s="1"/>
  <c r="D176" i="15"/>
  <c r="E176" i="15" s="1"/>
  <c r="D168" i="15"/>
  <c r="E168" i="15" s="1"/>
  <c r="D160" i="15"/>
  <c r="E160" i="15" s="1"/>
  <c r="D152" i="15"/>
  <c r="E152" i="15" s="1"/>
  <c r="D144" i="15"/>
  <c r="E144" i="15" s="1"/>
  <c r="D136" i="15"/>
  <c r="E136" i="15" s="1"/>
  <c r="D128" i="15"/>
  <c r="E128" i="15" s="1"/>
  <c r="D120" i="15"/>
  <c r="E120" i="15" s="1"/>
  <c r="D112" i="15"/>
  <c r="E112" i="15" s="1"/>
  <c r="D104" i="15"/>
  <c r="E104" i="15" s="1"/>
  <c r="D96" i="15"/>
  <c r="E96" i="15" s="1"/>
  <c r="D88" i="15"/>
  <c r="E88" i="15" s="1"/>
  <c r="D80" i="15"/>
  <c r="E80" i="15" s="1"/>
  <c r="D72" i="15"/>
  <c r="E72" i="15" s="1"/>
  <c r="D64" i="15"/>
  <c r="E64" i="15" s="1"/>
  <c r="D56" i="15"/>
  <c r="E56" i="15" s="1"/>
  <c r="D52" i="15"/>
  <c r="E52" i="15" s="1"/>
  <c r="D78" i="15"/>
  <c r="E78" i="15" s="1"/>
  <c r="D81" i="15"/>
  <c r="E81" i="15" s="1"/>
  <c r="D84" i="15"/>
  <c r="E84" i="15" s="1"/>
  <c r="D110" i="15"/>
  <c r="E110" i="15" s="1"/>
  <c r="D113" i="15"/>
  <c r="E113" i="15" s="1"/>
  <c r="D116" i="15"/>
  <c r="E116" i="15" s="1"/>
  <c r="D142" i="15"/>
  <c r="E142" i="15" s="1"/>
  <c r="D145" i="15"/>
  <c r="E145" i="15" s="1"/>
  <c r="D148" i="15"/>
  <c r="E148" i="15" s="1"/>
  <c r="D174" i="15"/>
  <c r="E174" i="15" s="1"/>
  <c r="D177" i="15"/>
  <c r="E177" i="15" s="1"/>
  <c r="D180" i="15"/>
  <c r="E180" i="15" s="1"/>
  <c r="D206" i="15"/>
  <c r="E206" i="15" s="1"/>
  <c r="D209" i="15"/>
  <c r="E209" i="15" s="1"/>
  <c r="D212" i="15"/>
  <c r="E212" i="15" s="1"/>
  <c r="H163" i="14"/>
  <c r="F39" i="1"/>
  <c r="H126" i="14"/>
  <c r="F126" i="14"/>
  <c r="F157" i="14"/>
  <c r="F186" i="14"/>
  <c r="F277" i="14"/>
  <c r="H277" i="14"/>
  <c r="F66" i="1"/>
  <c r="D70" i="15"/>
  <c r="E70" i="15" s="1"/>
  <c r="D73" i="15"/>
  <c r="E73" i="15" s="1"/>
  <c r="D76" i="15"/>
  <c r="E76" i="15" s="1"/>
  <c r="D102" i="15"/>
  <c r="E102" i="15" s="1"/>
  <c r="D105" i="15"/>
  <c r="E105" i="15" s="1"/>
  <c r="D108" i="15"/>
  <c r="E108" i="15" s="1"/>
  <c r="D134" i="15"/>
  <c r="E134" i="15" s="1"/>
  <c r="D137" i="15"/>
  <c r="E137" i="15" s="1"/>
  <c r="D140" i="15"/>
  <c r="E140" i="15" s="1"/>
  <c r="D166" i="15"/>
  <c r="E166" i="15" s="1"/>
  <c r="D169" i="15"/>
  <c r="E169" i="15" s="1"/>
  <c r="D172" i="15"/>
  <c r="E172" i="15" s="1"/>
  <c r="D198" i="15"/>
  <c r="E198" i="15" s="1"/>
  <c r="D201" i="15"/>
  <c r="E201" i="15" s="1"/>
  <c r="D204" i="15"/>
  <c r="E204" i="15" s="1"/>
  <c r="H147" i="14"/>
  <c r="H106" i="14"/>
  <c r="F57" i="1"/>
  <c r="F53" i="1"/>
  <c r="O45" i="20"/>
  <c r="P45" i="20" s="1"/>
  <c r="F164" i="14"/>
  <c r="F253" i="14"/>
  <c r="H112" i="14"/>
  <c r="O24" i="20"/>
  <c r="P24" i="20" s="1"/>
  <c r="H154" i="14"/>
  <c r="H214" i="14"/>
  <c r="R26" i="20"/>
  <c r="S26" i="20" s="1"/>
  <c r="J26" i="20" s="1"/>
  <c r="B230" i="10"/>
  <c r="B201" i="14"/>
  <c r="B234" i="14"/>
  <c r="D198" i="18"/>
  <c r="B207" i="18"/>
  <c r="D178" i="18"/>
  <c r="C215" i="18"/>
  <c r="B251" i="18"/>
  <c r="C239" i="18"/>
  <c r="B229" i="18"/>
  <c r="C181" i="18"/>
  <c r="C262" i="18"/>
  <c r="B191" i="18"/>
  <c r="H168" i="14"/>
  <c r="F42" i="14"/>
  <c r="F46" i="1"/>
  <c r="F50" i="1"/>
  <c r="F45" i="1"/>
  <c r="O48" i="20"/>
  <c r="P48" i="20" s="1"/>
  <c r="O44" i="20"/>
  <c r="P44" i="20" s="1"/>
  <c r="O31" i="20"/>
  <c r="P31" i="20" s="1"/>
  <c r="F36" i="1"/>
  <c r="F44" i="1"/>
  <c r="F60" i="1"/>
  <c r="H39" i="14"/>
  <c r="R25" i="20" s="1"/>
  <c r="S25" i="20" s="1"/>
  <c r="J25" i="20" s="1"/>
  <c r="F91" i="14"/>
  <c r="F152" i="14"/>
  <c r="F171" i="14"/>
  <c r="F216" i="14"/>
  <c r="F225" i="14"/>
  <c r="F267" i="14"/>
  <c r="B176" i="18"/>
  <c r="R36" i="20"/>
  <c r="S36" i="20" s="1"/>
  <c r="J36" i="20" s="1"/>
  <c r="C229" i="18"/>
  <c r="B42" i="10"/>
  <c r="B48" i="14"/>
  <c r="R40" i="20"/>
  <c r="S40" i="20" s="1"/>
  <c r="J40" i="20" s="1"/>
  <c r="R42" i="20"/>
  <c r="S42" i="20" s="1"/>
  <c r="J42" i="20" s="1"/>
  <c r="H84" i="14"/>
  <c r="F226" i="14"/>
  <c r="H226" i="14"/>
  <c r="F280" i="14"/>
  <c r="H280" i="14"/>
  <c r="H60" i="14"/>
  <c r="R44" i="20" s="1"/>
  <c r="S44" i="20" s="1"/>
  <c r="J44" i="20" s="1"/>
  <c r="R34" i="20"/>
  <c r="S34" i="20" s="1"/>
  <c r="J34" i="20" s="1"/>
  <c r="F57" i="14"/>
  <c r="F64" i="14"/>
  <c r="H64" i="14"/>
  <c r="R48" i="20" s="1"/>
  <c r="S48" i="20" s="1"/>
  <c r="J48" i="20" s="1"/>
  <c r="R32" i="20"/>
  <c r="S32" i="20" s="1"/>
  <c r="J32" i="20" s="1"/>
  <c r="B238" i="10"/>
  <c r="B230" i="18"/>
  <c r="C259" i="18"/>
  <c r="C247" i="18"/>
  <c r="C235" i="18"/>
  <c r="B208" i="18"/>
  <c r="C223" i="18"/>
  <c r="D180" i="18"/>
  <c r="B98" i="14"/>
  <c r="B158" i="14"/>
  <c r="H125" i="14"/>
  <c r="R52" i="20"/>
  <c r="H220" i="14"/>
  <c r="H175" i="14"/>
  <c r="H122" i="14"/>
  <c r="H79" i="14"/>
  <c r="H209" i="14"/>
  <c r="F40" i="14"/>
  <c r="F58" i="1"/>
  <c r="F42" i="1"/>
  <c r="O36" i="20"/>
  <c r="P36" i="20" s="1"/>
  <c r="O32" i="20"/>
  <c r="P32" i="20" s="1"/>
  <c r="F136" i="14"/>
  <c r="H158" i="14"/>
  <c r="F173" i="14"/>
  <c r="F178" i="14"/>
  <c r="F203" i="14"/>
  <c r="F227" i="14"/>
  <c r="F273" i="14"/>
  <c r="R47" i="20"/>
  <c r="S47" i="20" s="1"/>
  <c r="J47" i="20" s="1"/>
  <c r="H65" i="14"/>
  <c r="R49" i="20" s="1"/>
  <c r="S49" i="20" s="1"/>
  <c r="J49" i="20" s="1"/>
  <c r="F65" i="14"/>
  <c r="B278" i="14"/>
  <c r="B269" i="14"/>
  <c r="B240" i="14"/>
  <c r="D238" i="18"/>
  <c r="H77" i="14"/>
  <c r="H75" i="14"/>
  <c r="H210" i="14"/>
  <c r="F49" i="1"/>
  <c r="F61" i="1"/>
  <c r="O40" i="20"/>
  <c r="P40" i="20" s="1"/>
  <c r="F131" i="14"/>
  <c r="F145" i="14"/>
  <c r="F197" i="14"/>
  <c r="F223" i="14"/>
  <c r="F247" i="14"/>
  <c r="F255" i="14"/>
  <c r="H255" i="14"/>
  <c r="D176" i="18"/>
  <c r="R39" i="20"/>
  <c r="S39" i="20" s="1"/>
  <c r="J39" i="20" s="1"/>
  <c r="O30" i="20"/>
  <c r="P30" i="20" s="1"/>
  <c r="O39" i="20"/>
  <c r="P39" i="20" s="1"/>
  <c r="O33" i="20"/>
  <c r="P33" i="20" s="1"/>
  <c r="O25" i="20"/>
  <c r="P25" i="20" s="1"/>
  <c r="F143" i="14"/>
  <c r="H143" i="14"/>
  <c r="R30" i="20"/>
  <c r="S30" i="20" s="1"/>
  <c r="J30" i="20" s="1"/>
  <c r="R33" i="20"/>
  <c r="S33" i="20" s="1"/>
  <c r="J33" i="20" s="1"/>
  <c r="R37" i="20"/>
  <c r="S37" i="20" s="1"/>
  <c r="J37" i="20" s="1"/>
  <c r="H53" i="14"/>
  <c r="R38" i="20" s="1"/>
  <c r="S38" i="20" s="1"/>
  <c r="F53" i="14"/>
  <c r="B254" i="18"/>
  <c r="D215" i="18"/>
  <c r="B181" i="18"/>
  <c r="D262" i="18"/>
  <c r="R51" i="20"/>
  <c r="F46" i="14"/>
  <c r="F61" i="14"/>
  <c r="H61" i="14"/>
  <c r="R45" i="20" s="1"/>
  <c r="S45" i="20" s="1"/>
  <c r="J45" i="20" s="1"/>
  <c r="B260" i="14"/>
  <c r="F67" i="1"/>
  <c r="D217" i="18"/>
  <c r="D204" i="18"/>
  <c r="B119" i="14"/>
  <c r="B112" i="10"/>
  <c r="H159" i="14"/>
  <c r="H108" i="14"/>
  <c r="H89" i="14"/>
  <c r="F56" i="1"/>
  <c r="F48" i="1"/>
  <c r="F43" i="1"/>
  <c r="O35" i="20"/>
  <c r="P35" i="20" s="1"/>
  <c r="O43" i="20"/>
  <c r="P43" i="20" s="1"/>
  <c r="O46" i="20"/>
  <c r="P46" i="20" s="1"/>
  <c r="R53" i="20"/>
  <c r="H151" i="14"/>
  <c r="F151" i="14"/>
  <c r="R43" i="20"/>
  <c r="S43" i="20" s="1"/>
  <c r="J43" i="20" s="1"/>
  <c r="H62" i="14"/>
  <c r="R46" i="20" s="1"/>
  <c r="S46" i="20" s="1"/>
  <c r="J46" i="20" s="1"/>
  <c r="F62" i="14"/>
  <c r="R31" i="20"/>
  <c r="S31" i="20" s="1"/>
  <c r="J31" i="20" s="1"/>
  <c r="F231" i="14"/>
  <c r="B193" i="10"/>
  <c r="R35" i="20"/>
  <c r="S35" i="20" s="1"/>
  <c r="J35" i="20" s="1"/>
  <c r="N214" i="20"/>
  <c r="N221" i="20"/>
  <c r="N66" i="20"/>
  <c r="D85" i="20"/>
  <c r="N68" i="20"/>
  <c r="N117" i="20"/>
  <c r="N118" i="20"/>
  <c r="N210" i="20"/>
  <c r="K211" i="20" s="1"/>
  <c r="N150" i="20"/>
  <c r="N245" i="20"/>
  <c r="N153" i="20"/>
  <c r="N212" i="20"/>
  <c r="B245" i="10"/>
  <c r="B143" i="10"/>
  <c r="N167" i="20"/>
  <c r="N183" i="20"/>
  <c r="N176" i="20"/>
  <c r="N186" i="20"/>
  <c r="N231" i="20"/>
  <c r="N236" i="20"/>
  <c r="N69" i="20"/>
  <c r="N248" i="20"/>
  <c r="N132" i="20"/>
  <c r="K133" i="20" s="1"/>
  <c r="N196" i="20"/>
  <c r="N243" i="20"/>
  <c r="B259" i="10"/>
  <c r="B78" i="10"/>
  <c r="B99" i="10"/>
  <c r="B122" i="10"/>
  <c r="B270" i="10"/>
  <c r="N165" i="20"/>
  <c r="D93" i="20"/>
  <c r="N135" i="20"/>
  <c r="N61" i="20"/>
  <c r="N131" i="20"/>
  <c r="N193" i="20"/>
  <c r="N171" i="20"/>
  <c r="N154" i="20"/>
  <c r="B278" i="10"/>
  <c r="B93" i="10"/>
  <c r="B36" i="10"/>
  <c r="B272" i="10"/>
  <c r="B247" i="14"/>
  <c r="B123" i="14"/>
  <c r="B128" i="10"/>
  <c r="A239" i="10"/>
  <c r="B170" i="10"/>
  <c r="B60" i="14"/>
  <c r="B85" i="14"/>
  <c r="B126" i="10"/>
  <c r="B98" i="10"/>
  <c r="B49" i="14"/>
  <c r="B236" i="10"/>
  <c r="B176" i="10"/>
  <c r="B107" i="14"/>
  <c r="B84" i="10"/>
  <c r="B87" i="14"/>
  <c r="B256" i="10"/>
  <c r="B226" i="14"/>
  <c r="B220" i="10"/>
  <c r="B260" i="10"/>
  <c r="B206" i="14"/>
  <c r="B59" i="14"/>
  <c r="B173" i="14"/>
  <c r="B177" i="10"/>
  <c r="B160" i="10"/>
  <c r="B154" i="10"/>
  <c r="B146" i="10"/>
  <c r="B148" i="14"/>
  <c r="B104" i="14"/>
  <c r="A66" i="18"/>
  <c r="A105" i="18"/>
  <c r="A199" i="18"/>
  <c r="B68" i="10"/>
  <c r="B190" i="14"/>
  <c r="B126" i="14"/>
  <c r="B117" i="10"/>
  <c r="B141" i="14"/>
  <c r="B176" i="14"/>
  <c r="B261" i="10"/>
  <c r="B211" i="10"/>
  <c r="B218" i="14"/>
  <c r="B247" i="10"/>
  <c r="B195" i="10"/>
  <c r="B45" i="14"/>
  <c r="B70" i="14"/>
  <c r="B223" i="14"/>
  <c r="B171" i="10"/>
  <c r="B186" i="14"/>
  <c r="B52" i="10"/>
  <c r="A116" i="18"/>
  <c r="B69" i="10"/>
  <c r="B57" i="14"/>
  <c r="B275" i="14"/>
  <c r="B65" i="14"/>
  <c r="B111" i="10"/>
  <c r="B288" i="14"/>
  <c r="B138" i="10"/>
  <c r="B145" i="14"/>
  <c r="B47" i="10"/>
  <c r="B181" i="14"/>
  <c r="B266" i="14"/>
  <c r="B43" i="14"/>
  <c r="B139" i="14"/>
  <c r="B81" i="10"/>
  <c r="B138" i="14"/>
  <c r="B135" i="10"/>
  <c r="B214" i="10"/>
  <c r="B218" i="10"/>
  <c r="B225" i="14"/>
  <c r="B71" i="10"/>
  <c r="B276" i="10"/>
  <c r="B159" i="10"/>
  <c r="B161" i="10"/>
  <c r="B267" i="10"/>
  <c r="N160" i="20"/>
  <c r="N188" i="20"/>
  <c r="D64" i="20"/>
  <c r="B94" i="10"/>
  <c r="D80" i="20"/>
  <c r="N166" i="20"/>
  <c r="N116" i="20"/>
  <c r="N198" i="20"/>
  <c r="N81" i="20"/>
  <c r="B246" i="10"/>
  <c r="B125" i="10"/>
  <c r="N240" i="20"/>
  <c r="N187" i="20"/>
  <c r="B140" i="10"/>
  <c r="B158" i="10"/>
  <c r="N173" i="20"/>
  <c r="A72" i="14"/>
  <c r="F184" i="1" s="1"/>
  <c r="B277" i="10"/>
  <c r="B115" i="10"/>
  <c r="N126" i="20"/>
  <c r="N223" i="20"/>
  <c r="N242" i="20"/>
  <c r="B250" i="10"/>
  <c r="N218" i="20"/>
  <c r="N230" i="20"/>
  <c r="N156" i="20"/>
  <c r="B243" i="10"/>
  <c r="N148" i="20"/>
  <c r="B118" i="10"/>
  <c r="B168" i="10"/>
  <c r="B101" i="10"/>
  <c r="B79" i="10"/>
  <c r="B274" i="10"/>
  <c r="N155" i="20"/>
  <c r="N163" i="20"/>
  <c r="N226" i="20"/>
  <c r="N157" i="20"/>
  <c r="N76" i="20"/>
  <c r="N114" i="20"/>
  <c r="N234" i="20"/>
  <c r="N192" i="20"/>
  <c r="N58" i="20"/>
  <c r="N147" i="20"/>
  <c r="N121" i="20"/>
  <c r="B215" i="10"/>
  <c r="B106" i="10"/>
  <c r="N133" i="20"/>
  <c r="N143" i="20"/>
  <c r="B136" i="10"/>
  <c r="B147" i="10"/>
  <c r="B187" i="10"/>
  <c r="B83" i="10"/>
  <c r="B145" i="10"/>
  <c r="B185" i="10"/>
  <c r="B251" i="10"/>
  <c r="B266" i="10"/>
  <c r="B184" i="10"/>
  <c r="B85" i="10"/>
  <c r="P29" i="20"/>
  <c r="A221" i="18"/>
  <c r="B220" i="14"/>
  <c r="B203" i="14"/>
  <c r="B212" i="14"/>
  <c r="B197" i="10"/>
  <c r="B133" i="10"/>
  <c r="B66" i="10"/>
  <c r="B148" i="10"/>
  <c r="B129" i="14"/>
  <c r="B191" i="14"/>
  <c r="B165" i="10"/>
  <c r="B58" i="10"/>
  <c r="B282" i="14"/>
  <c r="B244" i="10"/>
  <c r="B241" i="10"/>
  <c r="B192" i="14"/>
  <c r="B205" i="14"/>
  <c r="B103" i="10"/>
  <c r="B130" i="10"/>
  <c r="B285" i="14"/>
  <c r="B185" i="14"/>
  <c r="B175" i="10"/>
  <c r="B181" i="10"/>
  <c r="B95" i="10"/>
  <c r="B209" i="10"/>
  <c r="B190" i="10"/>
  <c r="B77" i="10"/>
  <c r="B155" i="10"/>
  <c r="B115" i="14"/>
  <c r="B150" i="10"/>
  <c r="B174" i="14"/>
  <c r="B114" i="14"/>
  <c r="B231" i="10"/>
  <c r="B270" i="14"/>
  <c r="B203" i="10"/>
  <c r="B54" i="14"/>
  <c r="B228" i="10"/>
  <c r="B113" i="10"/>
  <c r="B67" i="10"/>
  <c r="B144" i="10"/>
  <c r="B200" i="10"/>
  <c r="B258" i="14"/>
  <c r="B200" i="14"/>
  <c r="B219" i="14"/>
  <c r="B55" i="14"/>
  <c r="B182" i="10"/>
  <c r="B61" i="14"/>
  <c r="B102" i="10"/>
  <c r="B74" i="10"/>
  <c r="B114" i="10"/>
  <c r="B80" i="14"/>
  <c r="B273" i="14"/>
  <c r="B40" i="10"/>
  <c r="B62" i="10"/>
  <c r="B68" i="14"/>
  <c r="B146" i="14"/>
  <c r="B139" i="10"/>
  <c r="B153" i="10"/>
  <c r="B189" i="10"/>
  <c r="B196" i="14"/>
  <c r="B79" i="14"/>
  <c r="B280" i="14"/>
  <c r="B273" i="10"/>
  <c r="B193" i="14"/>
  <c r="B56" i="10"/>
  <c r="B62" i="14"/>
  <c r="B130" i="14"/>
  <c r="B123" i="10"/>
  <c r="B255" i="10"/>
  <c r="B99" i="14"/>
  <c r="B92" i="10"/>
  <c r="B214" i="14"/>
  <c r="B207" i="10"/>
  <c r="B120" i="10"/>
  <c r="B210" i="10"/>
  <c r="B194" i="14"/>
  <c r="B198" i="14"/>
  <c r="B170" i="14"/>
  <c r="B163" i="10"/>
  <c r="A137" i="10"/>
  <c r="A192" i="10"/>
  <c r="B188" i="10"/>
  <c r="B171" i="14"/>
  <c r="B164" i="10"/>
  <c r="B209" i="14"/>
  <c r="B202" i="10"/>
  <c r="B264" i="10"/>
  <c r="B258" i="10"/>
  <c r="B156" i="14"/>
  <c r="B149" i="10"/>
  <c r="B255" i="14"/>
  <c r="B248" i="10"/>
  <c r="B173" i="10"/>
  <c r="B180" i="14"/>
  <c r="B265" i="10"/>
  <c r="B272" i="14"/>
  <c r="B41" i="10"/>
  <c r="B47" i="14"/>
  <c r="B67" i="14"/>
  <c r="B224" i="14"/>
  <c r="B279" i="10"/>
  <c r="B286" i="14"/>
  <c r="B249" i="10"/>
  <c r="B206" i="10"/>
  <c r="A110" i="10"/>
  <c r="B156" i="10"/>
  <c r="B57" i="10"/>
  <c r="B252" i="14"/>
  <c r="B134" i="14"/>
  <c r="B50" i="14"/>
  <c r="B280" i="10"/>
  <c r="B106" i="14"/>
  <c r="B234" i="10"/>
  <c r="B152" i="14"/>
  <c r="B51" i="14"/>
  <c r="B82" i="10"/>
  <c r="B136" i="14"/>
  <c r="B164" i="14"/>
  <c r="B52" i="14"/>
  <c r="B69" i="14"/>
  <c r="B150" i="14"/>
  <c r="B152" i="10"/>
  <c r="B254" i="10"/>
  <c r="B249" i="14"/>
  <c r="P41" i="20"/>
  <c r="A75" i="10"/>
  <c r="A87" i="18"/>
  <c r="K150" i="20"/>
  <c r="A162" i="10"/>
  <c r="A65" i="10"/>
  <c r="A157" i="18"/>
  <c r="A90" i="10"/>
  <c r="P47" i="20"/>
  <c r="K19" i="2"/>
  <c r="J19" i="2" s="1"/>
  <c r="R18" i="20"/>
  <c r="S18" i="20" s="1"/>
  <c r="A76" i="18"/>
  <c r="A132" i="18"/>
  <c r="A187" i="18"/>
  <c r="A269" i="10"/>
  <c r="R23" i="20"/>
  <c r="S23" i="20" s="1"/>
  <c r="K152" i="20"/>
  <c r="K158" i="20"/>
  <c r="P26" i="20"/>
  <c r="K9" i="2"/>
  <c r="J9" i="2" s="1"/>
  <c r="K155" i="20"/>
  <c r="A232" i="10"/>
  <c r="K153" i="20"/>
  <c r="R24" i="20"/>
  <c r="S24" i="20" s="1"/>
  <c r="K86" i="20"/>
  <c r="K156" i="20"/>
  <c r="K161" i="20"/>
  <c r="K84" i="20"/>
  <c r="K159" i="20"/>
  <c r="R22" i="20"/>
  <c r="S22" i="20" s="1"/>
  <c r="K146" i="20"/>
  <c r="K20" i="2"/>
  <c r="J20" i="2" s="1"/>
  <c r="K160" i="20"/>
  <c r="R20" i="20"/>
  <c r="S20" i="20" s="1"/>
  <c r="K89" i="20"/>
  <c r="K162" i="20"/>
  <c r="K148" i="20"/>
  <c r="R19" i="20"/>
  <c r="S19" i="20" s="1"/>
  <c r="K149" i="20"/>
  <c r="A121" i="10"/>
  <c r="R21" i="20"/>
  <c r="S21" i="20" s="1"/>
  <c r="A204" i="10"/>
  <c r="A175" i="18"/>
  <c r="A180" i="10"/>
  <c r="A226" i="10"/>
  <c r="S51" i="20" l="1"/>
  <c r="J51" i="20" s="1"/>
  <c r="T23" i="20"/>
  <c r="P54" i="20"/>
  <c r="P53" i="20"/>
  <c r="P51" i="20"/>
  <c r="T21" i="20"/>
  <c r="P52" i="20"/>
  <c r="K83" i="20"/>
  <c r="K80" i="20"/>
  <c r="K82" i="20"/>
  <c r="P50" i="20"/>
  <c r="T22" i="20"/>
  <c r="T24" i="20"/>
  <c r="T41" i="20"/>
  <c r="S54" i="20"/>
  <c r="J54" i="20" s="1"/>
  <c r="S50" i="20"/>
  <c r="J50" i="20" s="1"/>
  <c r="T44" i="20"/>
  <c r="T34" i="20"/>
  <c r="T26" i="20"/>
  <c r="T29" i="20"/>
  <c r="H2" i="2"/>
  <c r="D14" i="14" s="1"/>
  <c r="T37" i="20"/>
  <c r="T27" i="20"/>
  <c r="T31" i="20"/>
  <c r="T28" i="20"/>
  <c r="T20" i="20"/>
  <c r="T25" i="20"/>
  <c r="T43" i="20"/>
  <c r="T30" i="20"/>
  <c r="T32" i="20"/>
  <c r="T36" i="20"/>
  <c r="T40" i="20"/>
  <c r="S52" i="20"/>
  <c r="J52" i="20" s="1"/>
  <c r="T33" i="20"/>
  <c r="T45" i="20"/>
  <c r="T47" i="20"/>
  <c r="S53" i="20"/>
  <c r="J53" i="20" s="1"/>
  <c r="H3" i="2"/>
  <c r="D15" i="14" s="1"/>
  <c r="T39" i="20"/>
  <c r="F160" i="1"/>
  <c r="O105" i="20"/>
  <c r="P105" i="20" s="1"/>
  <c r="R150" i="20"/>
  <c r="S150" i="20" s="1"/>
  <c r="J150" i="20" s="1"/>
  <c r="R95" i="20"/>
  <c r="S95" i="20" s="1"/>
  <c r="R125" i="20"/>
  <c r="S125" i="20" s="1"/>
  <c r="J125" i="20" s="1"/>
  <c r="J38" i="20"/>
  <c r="T42" i="20"/>
  <c r="F139" i="1"/>
  <c r="O141" i="20"/>
  <c r="P141" i="20" s="1"/>
  <c r="O97" i="20"/>
  <c r="P97" i="20" s="1"/>
  <c r="F111" i="1"/>
  <c r="R222" i="20"/>
  <c r="S222" i="20" s="1"/>
  <c r="J222" i="20" s="1"/>
  <c r="R102" i="20"/>
  <c r="S102" i="20" s="1"/>
  <c r="J102" i="20" s="1"/>
  <c r="O159" i="20"/>
  <c r="P159" i="20" s="1"/>
  <c r="O248" i="20"/>
  <c r="P248" i="20" s="1"/>
  <c r="R133" i="20"/>
  <c r="S133" i="20" s="1"/>
  <c r="J133" i="20" s="1"/>
  <c r="R253" i="20"/>
  <c r="S253" i="20" s="1"/>
  <c r="J253" i="20" s="1"/>
  <c r="R192" i="20"/>
  <c r="S192" i="20" s="1"/>
  <c r="J192" i="20" s="1"/>
  <c r="O130" i="20"/>
  <c r="P130" i="20" s="1"/>
  <c r="F282" i="1"/>
  <c r="O187" i="20"/>
  <c r="P187" i="20" s="1"/>
  <c r="T38" i="20"/>
  <c r="R127" i="20"/>
  <c r="S127" i="20" s="1"/>
  <c r="J127" i="20" s="1"/>
  <c r="R88" i="20"/>
  <c r="S88" i="20" s="1"/>
  <c r="J88" i="20" s="1"/>
  <c r="R119" i="20"/>
  <c r="S119" i="20" s="1"/>
  <c r="J119" i="20" s="1"/>
  <c r="F99" i="1"/>
  <c r="F157" i="1"/>
  <c r="F172" i="1"/>
  <c r="O101" i="20"/>
  <c r="P101" i="20" s="1"/>
  <c r="R210" i="20"/>
  <c r="S210" i="20" s="1"/>
  <c r="J210" i="20" s="1"/>
  <c r="O140" i="20"/>
  <c r="P140" i="20" s="1"/>
  <c r="F136" i="1"/>
  <c r="R204" i="20"/>
  <c r="S204" i="20" s="1"/>
  <c r="J204" i="20" s="1"/>
  <c r="O123" i="20"/>
  <c r="P123" i="20" s="1"/>
  <c r="R131" i="20"/>
  <c r="S131" i="20" s="1"/>
  <c r="J131" i="20" s="1"/>
  <c r="O256" i="20"/>
  <c r="P256" i="20" s="1"/>
  <c r="R68" i="20"/>
  <c r="S68" i="20" s="1"/>
  <c r="J68" i="20" s="1"/>
  <c r="R227" i="20"/>
  <c r="S227" i="20" s="1"/>
  <c r="J227" i="20" s="1"/>
  <c r="R247" i="20"/>
  <c r="R100" i="20"/>
  <c r="S100" i="20" s="1"/>
  <c r="J100" i="20" s="1"/>
  <c r="R63" i="20"/>
  <c r="S63" i="20" s="1"/>
  <c r="J63" i="20" s="1"/>
  <c r="O211" i="20"/>
  <c r="P211" i="20" s="1"/>
  <c r="O73" i="20"/>
  <c r="P73" i="20" s="1"/>
  <c r="O201" i="20"/>
  <c r="P201" i="20" s="1"/>
  <c r="F120" i="1"/>
  <c r="O151" i="20"/>
  <c r="P151" i="20" s="1"/>
  <c r="F198" i="1"/>
  <c r="F193" i="1"/>
  <c r="O249" i="20"/>
  <c r="P249" i="20" s="1"/>
  <c r="O213" i="20"/>
  <c r="P213" i="20" s="1"/>
  <c r="F247" i="1"/>
  <c r="F131" i="1"/>
  <c r="T46" i="20"/>
  <c r="R101" i="20"/>
  <c r="S101" i="20" s="1"/>
  <c r="J101" i="20" s="1"/>
  <c r="T35" i="20"/>
  <c r="H4" i="2"/>
  <c r="D16" i="14" s="1"/>
  <c r="T48" i="20"/>
  <c r="T49" i="20"/>
  <c r="O203" i="20"/>
  <c r="P203" i="20" s="1"/>
  <c r="F88" i="1"/>
  <c r="R147" i="20"/>
  <c r="S147" i="20" s="1"/>
  <c r="J147" i="20" s="1"/>
  <c r="F152" i="1"/>
  <c r="O152" i="20"/>
  <c r="P152" i="20" s="1"/>
  <c r="F185" i="1"/>
  <c r="F166" i="1"/>
  <c r="R86" i="20"/>
  <c r="S86" i="20" s="1"/>
  <c r="J86" i="20" s="1"/>
  <c r="O137" i="20"/>
  <c r="P137" i="20" s="1"/>
  <c r="F84" i="1"/>
  <c r="R70" i="20"/>
  <c r="S70" i="20" s="1"/>
  <c r="J70" i="20" s="1"/>
  <c r="R168" i="20"/>
  <c r="S168" i="20" s="1"/>
  <c r="J168" i="20" s="1"/>
  <c r="R152" i="20"/>
  <c r="S152" i="20" s="1"/>
  <c r="J152" i="20" s="1"/>
  <c r="O79" i="20"/>
  <c r="P79" i="20" s="1"/>
  <c r="R78" i="20"/>
  <c r="S78" i="20" s="1"/>
  <c r="J78" i="20" s="1"/>
  <c r="F115" i="1"/>
  <c r="O232" i="20"/>
  <c r="P232" i="20" s="1"/>
  <c r="R73" i="20"/>
  <c r="S73" i="20" s="1"/>
  <c r="J73" i="20" s="1"/>
  <c r="O246" i="20"/>
  <c r="P246" i="20" s="1"/>
  <c r="F127" i="1"/>
  <c r="F243" i="1"/>
  <c r="O116" i="20"/>
  <c r="P116" i="20" s="1"/>
  <c r="O86" i="20"/>
  <c r="P86" i="20" s="1"/>
  <c r="F204" i="1"/>
  <c r="R170" i="20"/>
  <c r="S170" i="20" s="1"/>
  <c r="J170" i="20" s="1"/>
  <c r="R139" i="20"/>
  <c r="S139" i="20" s="1"/>
  <c r="J139" i="20" s="1"/>
  <c r="R148" i="20"/>
  <c r="S148" i="20" s="1"/>
  <c r="J148" i="20" s="1"/>
  <c r="F130" i="1"/>
  <c r="O144" i="20"/>
  <c r="P144" i="20" s="1"/>
  <c r="O117" i="20"/>
  <c r="P117" i="20" s="1"/>
  <c r="F241" i="1"/>
  <c r="O210" i="20"/>
  <c r="P210" i="20" s="1"/>
  <c r="R189" i="20"/>
  <c r="S189" i="20" s="1"/>
  <c r="J189" i="20" s="1"/>
  <c r="R211" i="20"/>
  <c r="S211" i="20" s="1"/>
  <c r="J211" i="20" s="1"/>
  <c r="R235" i="20"/>
  <c r="S235" i="20" s="1"/>
  <c r="R236" i="20"/>
  <c r="S236" i="20" s="1"/>
  <c r="J236" i="20" s="1"/>
  <c r="F105" i="1"/>
  <c r="O173" i="20"/>
  <c r="P173" i="20" s="1"/>
  <c r="O169" i="20"/>
  <c r="P169" i="20" s="1"/>
  <c r="O227" i="20"/>
  <c r="P227" i="20" s="1"/>
  <c r="F194" i="1"/>
  <c r="R59" i="20"/>
  <c r="S59" i="20" s="1"/>
  <c r="J59" i="20" s="1"/>
  <c r="O109" i="20"/>
  <c r="P109" i="20" s="1"/>
  <c r="R129" i="20"/>
  <c r="S129" i="20" s="1"/>
  <c r="J129" i="20" s="1"/>
  <c r="R243" i="20"/>
  <c r="S243" i="20" s="1"/>
  <c r="J243" i="20" s="1"/>
  <c r="R226" i="20"/>
  <c r="S226" i="20" s="1"/>
  <c r="J226" i="20" s="1"/>
  <c r="F275" i="1"/>
  <c r="F252" i="1"/>
  <c r="R145" i="20"/>
  <c r="S145" i="20" s="1"/>
  <c r="J145" i="20" s="1"/>
  <c r="F72" i="1"/>
  <c r="R154" i="20"/>
  <c r="S154" i="20" s="1"/>
  <c r="J154" i="20" s="1"/>
  <c r="R56" i="20"/>
  <c r="S56" i="20" s="1"/>
  <c r="J56" i="20" s="1"/>
  <c r="R160" i="20"/>
  <c r="S160" i="20" s="1"/>
  <c r="J160" i="20" s="1"/>
  <c r="R109" i="20"/>
  <c r="S109" i="20" s="1"/>
  <c r="J109" i="20" s="1"/>
  <c r="O60" i="20"/>
  <c r="P60" i="20" s="1"/>
  <c r="F212" i="1"/>
  <c r="O170" i="20"/>
  <c r="P170" i="20" s="1"/>
  <c r="F162" i="1"/>
  <c r="U64" i="20"/>
  <c r="C76" i="10" s="1"/>
  <c r="R164" i="20"/>
  <c r="S164" i="20" s="1"/>
  <c r="J164" i="20" s="1"/>
  <c r="F213" i="1"/>
  <c r="O194" i="20"/>
  <c r="P194" i="20" s="1"/>
  <c r="O77" i="20"/>
  <c r="P77" i="20" s="1"/>
  <c r="F283" i="1"/>
  <c r="R194" i="20"/>
  <c r="S194" i="20" s="1"/>
  <c r="J194" i="20" s="1"/>
  <c r="R167" i="20"/>
  <c r="S167" i="20" s="1"/>
  <c r="J167" i="20" s="1"/>
  <c r="R216" i="20"/>
  <c r="S216" i="20" s="1"/>
  <c r="R84" i="20"/>
  <c r="S84" i="20" s="1"/>
  <c r="J84" i="20" s="1"/>
  <c r="F102" i="1"/>
  <c r="F121" i="1"/>
  <c r="R173" i="20"/>
  <c r="S173" i="20" s="1"/>
  <c r="J173" i="20" s="1"/>
  <c r="R57" i="20"/>
  <c r="S57" i="20" s="1"/>
  <c r="J57" i="20" s="1"/>
  <c r="R206" i="20"/>
  <c r="S206" i="20" s="1"/>
  <c r="J206" i="20" s="1"/>
  <c r="F255" i="1"/>
  <c r="O171" i="20"/>
  <c r="P171" i="20" s="1"/>
  <c r="F218" i="1"/>
  <c r="F126" i="1"/>
  <c r="O150" i="20"/>
  <c r="P150" i="20" s="1"/>
  <c r="F128" i="1"/>
  <c r="R207" i="20"/>
  <c r="S207" i="20" s="1"/>
  <c r="J207" i="20" s="1"/>
  <c r="F142" i="1"/>
  <c r="O157" i="20"/>
  <c r="P157" i="20" s="1"/>
  <c r="R205" i="20"/>
  <c r="S205" i="20" s="1"/>
  <c r="J205" i="20" s="1"/>
  <c r="F261" i="1"/>
  <c r="R124" i="20"/>
  <c r="S124" i="20" s="1"/>
  <c r="J124" i="20" s="1"/>
  <c r="R65" i="20"/>
  <c r="S65" i="20" s="1"/>
  <c r="J65" i="20" s="1"/>
  <c r="F215" i="1"/>
  <c r="R245" i="20"/>
  <c r="S245" i="20" s="1"/>
  <c r="F238" i="1"/>
  <c r="R248" i="20"/>
  <c r="S248" i="20" s="1"/>
  <c r="J248" i="20" s="1"/>
  <c r="R75" i="20"/>
  <c r="S75" i="20" s="1"/>
  <c r="J75" i="20" s="1"/>
  <c r="F148" i="1"/>
  <c r="F258" i="1"/>
  <c r="F137" i="1"/>
  <c r="O231" i="20"/>
  <c r="P231" i="20" s="1"/>
  <c r="O19" i="20"/>
  <c r="P19" i="20" s="1"/>
  <c r="T19" i="20" s="1"/>
  <c r="F209" i="1"/>
  <c r="R140" i="20"/>
  <c r="S140" i="20" s="1"/>
  <c r="J140" i="20" s="1"/>
  <c r="F214" i="1"/>
  <c r="F246" i="1"/>
  <c r="F188" i="1"/>
  <c r="F133" i="1"/>
  <c r="R123" i="20"/>
  <c r="S123" i="20" s="1"/>
  <c r="J123" i="20" s="1"/>
  <c r="O190" i="20"/>
  <c r="P190" i="20" s="1"/>
  <c r="F240" i="1"/>
  <c r="O247" i="20"/>
  <c r="P247" i="20" s="1"/>
  <c r="R146" i="20"/>
  <c r="S146" i="20" s="1"/>
  <c r="J146" i="20" s="1"/>
  <c r="R76" i="20"/>
  <c r="S76" i="20" s="1"/>
  <c r="J76" i="20" s="1"/>
  <c r="O208" i="20"/>
  <c r="P208" i="20" s="1"/>
  <c r="F141" i="1"/>
  <c r="F117" i="1"/>
  <c r="O94" i="20"/>
  <c r="P94" i="20" s="1"/>
  <c r="F89" i="1"/>
  <c r="F257" i="1"/>
  <c r="R228" i="20"/>
  <c r="S228" i="20" s="1"/>
  <c r="J228" i="20" s="1"/>
  <c r="F250" i="1"/>
  <c r="F171" i="1"/>
  <c r="R224" i="20"/>
  <c r="S224" i="20" s="1"/>
  <c r="J224" i="20" s="1"/>
  <c r="O251" i="20"/>
  <c r="P251" i="20" s="1"/>
  <c r="F76" i="1"/>
  <c r="R134" i="20"/>
  <c r="S134" i="20" s="1"/>
  <c r="J134" i="20" s="1"/>
  <c r="F174" i="1"/>
  <c r="H73" i="14"/>
  <c r="R55" i="20" s="1"/>
  <c r="S55" i="20" s="1"/>
  <c r="R107" i="20"/>
  <c r="S107" i="20" s="1"/>
  <c r="J107" i="20" s="1"/>
  <c r="R234" i="20"/>
  <c r="S234" i="20" s="1"/>
  <c r="J234" i="20" s="1"/>
  <c r="R66" i="20"/>
  <c r="S66" i="20" s="1"/>
  <c r="J66" i="20" s="1"/>
  <c r="F280" i="1"/>
  <c r="O104" i="20"/>
  <c r="P104" i="20" s="1"/>
  <c r="O99" i="20"/>
  <c r="P99" i="20" s="1"/>
  <c r="F178" i="1"/>
  <c r="R219" i="20"/>
  <c r="S219" i="20" s="1"/>
  <c r="J219" i="20" s="1"/>
  <c r="R96" i="20"/>
  <c r="S96" i="20" s="1"/>
  <c r="O243" i="20"/>
  <c r="P243" i="20" s="1"/>
  <c r="R142" i="20"/>
  <c r="S142" i="20" s="1"/>
  <c r="J142" i="20" s="1"/>
  <c r="O253" i="20"/>
  <c r="P253" i="20" s="1"/>
  <c r="O70" i="20"/>
  <c r="P70" i="20" s="1"/>
  <c r="R241" i="20"/>
  <c r="S241" i="20" s="1"/>
  <c r="J241" i="20" s="1"/>
  <c r="R176" i="20"/>
  <c r="S176" i="20" s="1"/>
  <c r="J176" i="20" s="1"/>
  <c r="F264" i="1"/>
  <c r="O185" i="20"/>
  <c r="P185" i="20" s="1"/>
  <c r="R85" i="20"/>
  <c r="S85" i="20" s="1"/>
  <c r="J85" i="20" s="1"/>
  <c r="F134" i="1"/>
  <c r="O160" i="20"/>
  <c r="P160" i="20" s="1"/>
  <c r="R172" i="20"/>
  <c r="S172" i="20" s="1"/>
  <c r="J172" i="20" s="1"/>
  <c r="R178" i="20"/>
  <c r="S178" i="20" s="1"/>
  <c r="J178" i="20" s="1"/>
  <c r="F150" i="1"/>
  <c r="O129" i="20"/>
  <c r="P129" i="20" s="1"/>
  <c r="O238" i="20"/>
  <c r="P238" i="20" s="1"/>
  <c r="F70" i="1"/>
  <c r="F119" i="1"/>
  <c r="F211" i="1"/>
  <c r="O136" i="20"/>
  <c r="P136" i="20" s="1"/>
  <c r="F182" i="1"/>
  <c r="R157" i="20"/>
  <c r="S157" i="20" s="1"/>
  <c r="J157" i="20" s="1"/>
  <c r="F85" i="1"/>
  <c r="F237" i="1"/>
  <c r="R62" i="20"/>
  <c r="S62" i="20" s="1"/>
  <c r="J62" i="20" s="1"/>
  <c r="R155" i="20"/>
  <c r="S155" i="20" s="1"/>
  <c r="R237" i="20"/>
  <c r="S237" i="20" s="1"/>
  <c r="J237" i="20" s="1"/>
  <c r="F98" i="1"/>
  <c r="R217" i="20"/>
  <c r="S217" i="20" s="1"/>
  <c r="J217" i="20" s="1"/>
  <c r="R193" i="20"/>
  <c r="S193" i="20" s="1"/>
  <c r="J193" i="20" s="1"/>
  <c r="R72" i="20"/>
  <c r="S72" i="20" s="1"/>
  <c r="J72" i="20" s="1"/>
  <c r="R67" i="20"/>
  <c r="S67" i="20" s="1"/>
  <c r="J67" i="20" s="1"/>
  <c r="R251" i="20"/>
  <c r="S251" i="20" s="1"/>
  <c r="J251" i="20" s="1"/>
  <c r="F232" i="1"/>
  <c r="F230" i="1"/>
  <c r="R190" i="20"/>
  <c r="S190" i="20" s="1"/>
  <c r="J190" i="20" s="1"/>
  <c r="F180" i="1"/>
  <c r="R64" i="20"/>
  <c r="S64" i="20" s="1"/>
  <c r="J64" i="20" s="1"/>
  <c r="F187" i="1"/>
  <c r="R252" i="20"/>
  <c r="S252" i="20" s="1"/>
  <c r="J252" i="20" s="1"/>
  <c r="O126" i="20"/>
  <c r="P126" i="20" s="1"/>
  <c r="O92" i="20"/>
  <c r="P92" i="20" s="1"/>
  <c r="R61" i="20"/>
  <c r="S61" i="20" s="1"/>
  <c r="J61" i="20" s="1"/>
  <c r="F216" i="1"/>
  <c r="R246" i="20"/>
  <c r="S246" i="20" s="1"/>
  <c r="F103" i="1"/>
  <c r="R175" i="20"/>
  <c r="S175" i="20" s="1"/>
  <c r="J175" i="20" s="1"/>
  <c r="R187" i="20"/>
  <c r="S187" i="20" s="1"/>
  <c r="J187" i="20" s="1"/>
  <c r="R215" i="20"/>
  <c r="S215" i="20" s="1"/>
  <c r="J215" i="20" s="1"/>
  <c r="R83" i="20"/>
  <c r="O178" i="20"/>
  <c r="P178" i="20" s="1"/>
  <c r="O78" i="20"/>
  <c r="P78" i="20" s="1"/>
  <c r="O147" i="20"/>
  <c r="P147" i="20" s="1"/>
  <c r="F138" i="1"/>
  <c r="F80" i="1"/>
  <c r="R159" i="20"/>
  <c r="S159" i="20" s="1"/>
  <c r="J159" i="20" s="1"/>
  <c r="O163" i="20"/>
  <c r="P163" i="20" s="1"/>
  <c r="F220" i="1"/>
  <c r="O193" i="20"/>
  <c r="P193" i="20" s="1"/>
  <c r="R82" i="20"/>
  <c r="R171" i="20"/>
  <c r="S171" i="20" s="1"/>
  <c r="J171" i="20" s="1"/>
  <c r="F77" i="1"/>
  <c r="O158" i="20"/>
  <c r="P158" i="20" s="1"/>
  <c r="O229" i="20"/>
  <c r="P229" i="20" s="1"/>
  <c r="O81" i="20"/>
  <c r="P81" i="20" s="1"/>
  <c r="F101" i="1"/>
  <c r="F269" i="1"/>
  <c r="R116" i="20"/>
  <c r="S116" i="20" s="1"/>
  <c r="J116" i="20" s="1"/>
  <c r="O120" i="20"/>
  <c r="P120" i="20" s="1"/>
  <c r="R153" i="20"/>
  <c r="S153" i="20" s="1"/>
  <c r="F208" i="1"/>
  <c r="R200" i="20"/>
  <c r="S200" i="20" s="1"/>
  <c r="J200" i="20" s="1"/>
  <c r="F158" i="1"/>
  <c r="F236" i="1"/>
  <c r="O204" i="20"/>
  <c r="R126" i="20"/>
  <c r="S126" i="20" s="1"/>
  <c r="J126" i="20" s="1"/>
  <c r="R165" i="20"/>
  <c r="S165" i="20" s="1"/>
  <c r="J165" i="20" s="1"/>
  <c r="F201" i="1"/>
  <c r="F149" i="1"/>
  <c r="R179" i="20"/>
  <c r="S179" i="20" s="1"/>
  <c r="J179" i="20" s="1"/>
  <c r="R120" i="20"/>
  <c r="S120" i="20" s="1"/>
  <c r="J120" i="20" s="1"/>
  <c r="R98" i="20"/>
  <c r="S98" i="20" s="1"/>
  <c r="R213" i="20"/>
  <c r="S213" i="20" s="1"/>
  <c r="J213" i="20" s="1"/>
  <c r="R185" i="20"/>
  <c r="S185" i="20" s="1"/>
  <c r="J185" i="20" s="1"/>
  <c r="R91" i="20"/>
  <c r="S91" i="20" s="1"/>
  <c r="J91" i="20" s="1"/>
  <c r="R87" i="20"/>
  <c r="S87" i="20" s="1"/>
  <c r="J87" i="20" s="1"/>
  <c r="R195" i="20"/>
  <c r="S195" i="20" s="1"/>
  <c r="J195" i="20" s="1"/>
  <c r="R188" i="20"/>
  <c r="S188" i="20" s="1"/>
  <c r="J188" i="20" s="1"/>
  <c r="R144" i="20"/>
  <c r="S144" i="20" s="1"/>
  <c r="J144" i="20" s="1"/>
  <c r="F217" i="1"/>
  <c r="O125" i="20"/>
  <c r="P125" i="20" s="1"/>
  <c r="O88" i="20"/>
  <c r="P88" i="20" s="1"/>
  <c r="O149" i="20"/>
  <c r="P149" i="20" s="1"/>
  <c r="O179" i="20"/>
  <c r="P179" i="20" s="1"/>
  <c r="F173" i="1"/>
  <c r="O106" i="20"/>
  <c r="P106" i="20" s="1"/>
  <c r="O207" i="20"/>
  <c r="P207" i="20" s="1"/>
  <c r="F206" i="1"/>
  <c r="F94" i="1"/>
  <c r="R199" i="20"/>
  <c r="S199" i="20" s="1"/>
  <c r="J199" i="20" s="1"/>
  <c r="R174" i="20"/>
  <c r="S174" i="20" s="1"/>
  <c r="J174" i="20" s="1"/>
  <c r="O131" i="20"/>
  <c r="P131" i="20" s="1"/>
  <c r="F219" i="1"/>
  <c r="R218" i="20"/>
  <c r="S218" i="20" s="1"/>
  <c r="J218" i="20" s="1"/>
  <c r="O112" i="20"/>
  <c r="P112" i="20" s="1"/>
  <c r="R169" i="20"/>
  <c r="S169" i="20" s="1"/>
  <c r="J169" i="20" s="1"/>
  <c r="R58" i="20"/>
  <c r="S58" i="20" s="1"/>
  <c r="J58" i="20" s="1"/>
  <c r="R231" i="20"/>
  <c r="S231" i="20" s="1"/>
  <c r="J231" i="20" s="1"/>
  <c r="R143" i="20"/>
  <c r="S143" i="20" s="1"/>
  <c r="J143" i="20" s="1"/>
  <c r="R106" i="20"/>
  <c r="S106" i="20" s="1"/>
  <c r="R232" i="20"/>
  <c r="S232" i="20" s="1"/>
  <c r="J232" i="20" s="1"/>
  <c r="F234" i="1"/>
  <c r="O209" i="20"/>
  <c r="P209" i="20" s="1"/>
  <c r="O226" i="20"/>
  <c r="P226" i="20" s="1"/>
  <c r="O200" i="20"/>
  <c r="P200" i="20" s="1"/>
  <c r="O189" i="20"/>
  <c r="P189" i="20" s="1"/>
  <c r="O127" i="20"/>
  <c r="P127" i="20" s="1"/>
  <c r="F273" i="1"/>
  <c r="F163" i="1"/>
  <c r="F125" i="1"/>
  <c r="F82" i="1"/>
  <c r="R136" i="20"/>
  <c r="S136" i="20" s="1"/>
  <c r="J136" i="20" s="1"/>
  <c r="F186" i="1"/>
  <c r="R184" i="20"/>
  <c r="S184" i="20" s="1"/>
  <c r="J184" i="20" s="1"/>
  <c r="O197" i="20"/>
  <c r="P197" i="20" s="1"/>
  <c r="R69" i="20"/>
  <c r="S69" i="20" s="1"/>
  <c r="J69" i="20" s="1"/>
  <c r="O188" i="20"/>
  <c r="P188" i="20" s="1"/>
  <c r="R201" i="20"/>
  <c r="S201" i="20" s="1"/>
  <c r="J201" i="20" s="1"/>
  <c r="R239" i="20"/>
  <c r="S239" i="20" s="1"/>
  <c r="J239" i="20" s="1"/>
  <c r="R196" i="20"/>
  <c r="S196" i="20" s="1"/>
  <c r="J196" i="20" s="1"/>
  <c r="O196" i="20"/>
  <c r="P196" i="20" s="1"/>
  <c r="F118" i="1"/>
  <c r="O236" i="20"/>
  <c r="P236" i="20" s="1"/>
  <c r="O216" i="20"/>
  <c r="P216" i="20" s="1"/>
  <c r="O183" i="20"/>
  <c r="P183" i="20" s="1"/>
  <c r="F144" i="1"/>
  <c r="R197" i="20"/>
  <c r="S197" i="20" s="1"/>
  <c r="J197" i="20" s="1"/>
  <c r="R158" i="20"/>
  <c r="S158" i="20" s="1"/>
  <c r="J158" i="20" s="1"/>
  <c r="O68" i="20"/>
  <c r="P68" i="20" s="1"/>
  <c r="O124" i="20"/>
  <c r="P124" i="20" s="1"/>
  <c r="F181" i="1"/>
  <c r="F176" i="1"/>
  <c r="O146" i="20"/>
  <c r="P146" i="20" s="1"/>
  <c r="R177" i="20"/>
  <c r="S177" i="20" s="1"/>
  <c r="J177" i="20" s="1"/>
  <c r="F147" i="1"/>
  <c r="R163" i="20"/>
  <c r="S163" i="20" s="1"/>
  <c r="R117" i="20"/>
  <c r="S117" i="20" s="1"/>
  <c r="J117" i="20" s="1"/>
  <c r="R94" i="20"/>
  <c r="S94" i="20" s="1"/>
  <c r="J94" i="20" s="1"/>
  <c r="F268" i="1"/>
  <c r="O239" i="20"/>
  <c r="P239" i="20" s="1"/>
  <c r="O111" i="20"/>
  <c r="P111" i="20" s="1"/>
  <c r="O115" i="20"/>
  <c r="P115" i="20" s="1"/>
  <c r="R238" i="20"/>
  <c r="S238" i="20" s="1"/>
  <c r="O235" i="20"/>
  <c r="P235" i="20" s="1"/>
  <c r="O121" i="20"/>
  <c r="P121" i="20" s="1"/>
  <c r="R130" i="20"/>
  <c r="S130" i="20" s="1"/>
  <c r="J130" i="20" s="1"/>
  <c r="O103" i="20"/>
  <c r="P103" i="20" s="1"/>
  <c r="O214" i="20"/>
  <c r="P214" i="20" s="1"/>
  <c r="F122" i="1"/>
  <c r="R250" i="20"/>
  <c r="S250" i="20" s="1"/>
  <c r="J250" i="20" s="1"/>
  <c r="R220" i="20"/>
  <c r="S220" i="20" s="1"/>
  <c r="J220" i="20" s="1"/>
  <c r="R156" i="20"/>
  <c r="S156" i="20" s="1"/>
  <c r="J156" i="20" s="1"/>
  <c r="O75" i="20"/>
  <c r="P75" i="20" s="1"/>
  <c r="O119" i="20"/>
  <c r="P119" i="20" s="1"/>
  <c r="O177" i="20"/>
  <c r="P177" i="20" s="1"/>
  <c r="R141" i="20"/>
  <c r="S141" i="20" s="1"/>
  <c r="J141" i="20" s="1"/>
  <c r="R209" i="20"/>
  <c r="S209" i="20" s="1"/>
  <c r="J209" i="20" s="1"/>
  <c r="R223" i="20"/>
  <c r="S223" i="20" s="1"/>
  <c r="R212" i="20"/>
  <c r="S212" i="20" s="1"/>
  <c r="J212" i="20" s="1"/>
  <c r="R151" i="20"/>
  <c r="S151" i="20" s="1"/>
  <c r="J151" i="20" s="1"/>
  <c r="R135" i="20"/>
  <c r="S135" i="20" s="1"/>
  <c r="J135" i="20" s="1"/>
  <c r="O56" i="20"/>
  <c r="P56" i="20" s="1"/>
  <c r="O98" i="20"/>
  <c r="P98" i="20" s="1"/>
  <c r="O145" i="20"/>
  <c r="P145" i="20" s="1"/>
  <c r="O72" i="20"/>
  <c r="P72" i="20" s="1"/>
  <c r="O62" i="20"/>
  <c r="P62" i="20" s="1"/>
  <c r="F263" i="1"/>
  <c r="O168" i="20"/>
  <c r="P168" i="20" s="1"/>
  <c r="O110" i="20"/>
  <c r="P110" i="20" s="1"/>
  <c r="F199" i="1"/>
  <c r="O71" i="20"/>
  <c r="P71" i="20" s="1"/>
  <c r="R111" i="20"/>
  <c r="S111" i="20" s="1"/>
  <c r="J111" i="20" s="1"/>
  <c r="O76" i="20"/>
  <c r="P76" i="20" s="1"/>
  <c r="R118" i="20"/>
  <c r="S118" i="20" s="1"/>
  <c r="J118" i="20" s="1"/>
  <c r="O143" i="20"/>
  <c r="P143" i="20" s="1"/>
  <c r="F87" i="1"/>
  <c r="R240" i="20"/>
  <c r="S240" i="20" s="1"/>
  <c r="J240" i="20" s="1"/>
  <c r="O206" i="20"/>
  <c r="P206" i="20" s="1"/>
  <c r="F227" i="1"/>
  <c r="F108" i="1"/>
  <c r="F266" i="1"/>
  <c r="R254" i="20"/>
  <c r="S254" i="20" s="1"/>
  <c r="J254" i="20" s="1"/>
  <c r="R74" i="20"/>
  <c r="S74" i="20" s="1"/>
  <c r="J74" i="20" s="1"/>
  <c r="R89" i="20"/>
  <c r="S89" i="20" s="1"/>
  <c r="J89" i="20" s="1"/>
  <c r="R121" i="20"/>
  <c r="S121" i="20" s="1"/>
  <c r="J121" i="20" s="1"/>
  <c r="R191" i="20"/>
  <c r="S191" i="20" s="1"/>
  <c r="J191" i="20" s="1"/>
  <c r="R112" i="20"/>
  <c r="S112" i="20" s="1"/>
  <c r="J112" i="20" s="1"/>
  <c r="O221" i="20"/>
  <c r="P221" i="20" s="1"/>
  <c r="O223" i="20"/>
  <c r="P223" i="20" s="1"/>
  <c r="O154" i="20"/>
  <c r="P154" i="20" s="1"/>
  <c r="R214" i="20"/>
  <c r="S214" i="20" s="1"/>
  <c r="J214" i="20" s="1"/>
  <c r="F155" i="1"/>
  <c r="R183" i="20"/>
  <c r="S183" i="20" s="1"/>
  <c r="J183" i="20" s="1"/>
  <c r="F153" i="1"/>
  <c r="R221" i="20"/>
  <c r="S221" i="20" s="1"/>
  <c r="J221" i="20" s="1"/>
  <c r="O102" i="20"/>
  <c r="P102" i="20" s="1"/>
  <c r="F110" i="1"/>
  <c r="R115" i="20"/>
  <c r="S115" i="20" s="1"/>
  <c r="J115" i="20" s="1"/>
  <c r="F83" i="1"/>
  <c r="F231" i="1"/>
  <c r="O220" i="20"/>
  <c r="P220" i="20" s="1"/>
  <c r="F74" i="1"/>
  <c r="R249" i="20"/>
  <c r="S249" i="20" s="1"/>
  <c r="J249" i="20" s="1"/>
  <c r="O114" i="20"/>
  <c r="P114" i="20" s="1"/>
  <c r="R81" i="20"/>
  <c r="S81" i="20" s="1"/>
  <c r="J81" i="20" s="1"/>
  <c r="R103" i="20"/>
  <c r="S103" i="20" s="1"/>
  <c r="J103" i="20" s="1"/>
  <c r="R79" i="20"/>
  <c r="S79" i="20" s="1"/>
  <c r="J79" i="20" s="1"/>
  <c r="R230" i="20"/>
  <c r="S230" i="20" s="1"/>
  <c r="J230" i="20" s="1"/>
  <c r="R182" i="20"/>
  <c r="S182" i="20" s="1"/>
  <c r="J182" i="20" s="1"/>
  <c r="R203" i="20"/>
  <c r="S203" i="20" s="1"/>
  <c r="J203" i="20" s="1"/>
  <c r="R180" i="20"/>
  <c r="S180" i="20" s="1"/>
  <c r="J180" i="20" s="1"/>
  <c r="R92" i="20"/>
  <c r="S92" i="20" s="1"/>
  <c r="J92" i="20" s="1"/>
  <c r="R132" i="20"/>
  <c r="S132" i="20" s="1"/>
  <c r="J132" i="20" s="1"/>
  <c r="O100" i="20"/>
  <c r="P100" i="20" s="1"/>
  <c r="O89" i="20"/>
  <c r="P89" i="20" s="1"/>
  <c r="O174" i="20"/>
  <c r="P174" i="20" s="1"/>
  <c r="O212" i="20"/>
  <c r="P212" i="20" s="1"/>
  <c r="R229" i="20"/>
  <c r="S229" i="20" s="1"/>
  <c r="J229" i="20" s="1"/>
  <c r="O250" i="20"/>
  <c r="P250" i="20" s="1"/>
  <c r="O155" i="20"/>
  <c r="P155" i="20" s="1"/>
  <c r="O162" i="20"/>
  <c r="P162" i="20" s="1"/>
  <c r="O252" i="20"/>
  <c r="P252" i="20" s="1"/>
  <c r="R225" i="20"/>
  <c r="S225" i="20" s="1"/>
  <c r="J225" i="20" s="1"/>
  <c r="R208" i="20"/>
  <c r="S208" i="20" s="1"/>
  <c r="J208" i="20" s="1"/>
  <c r="O83" i="20"/>
  <c r="P83" i="20" s="1"/>
  <c r="F197" i="1"/>
  <c r="F167" i="1"/>
  <c r="F135" i="1"/>
  <c r="O254" i="20"/>
  <c r="P254" i="20" s="1"/>
  <c r="O87" i="20"/>
  <c r="P87" i="20" s="1"/>
  <c r="R93" i="20"/>
  <c r="S93" i="20" s="1"/>
  <c r="J93" i="20" s="1"/>
  <c r="R138" i="20"/>
  <c r="S138" i="20" s="1"/>
  <c r="J138" i="20" s="1"/>
  <c r="R149" i="20"/>
  <c r="S149" i="20" s="1"/>
  <c r="J149" i="20" s="1"/>
  <c r="R80" i="20"/>
  <c r="S80" i="20" s="1"/>
  <c r="J80" i="20" s="1"/>
  <c r="R105" i="20"/>
  <c r="S105" i="20" s="1"/>
  <c r="F281" i="1"/>
  <c r="O205" i="20"/>
  <c r="P205" i="20" s="1"/>
  <c r="F270" i="1"/>
  <c r="F271" i="1"/>
  <c r="R198" i="20"/>
  <c r="S198" i="20" s="1"/>
  <c r="J198" i="20" s="1"/>
  <c r="R104" i="20"/>
  <c r="S104" i="20" s="1"/>
  <c r="J104" i="20" s="1"/>
  <c r="F104" i="1"/>
  <c r="R77" i="20"/>
  <c r="S77" i="20" s="1"/>
  <c r="J77" i="20" s="1"/>
  <c r="O59" i="20"/>
  <c r="P59" i="20" s="1"/>
  <c r="O233" i="20"/>
  <c r="P233" i="20" s="1"/>
  <c r="R97" i="20"/>
  <c r="S97" i="20" s="1"/>
  <c r="O84" i="20"/>
  <c r="P84" i="20" s="1"/>
  <c r="F92" i="1"/>
  <c r="R186" i="20"/>
  <c r="S186" i="20" s="1"/>
  <c r="J186" i="20" s="1"/>
  <c r="F75" i="1"/>
  <c r="O244" i="20"/>
  <c r="P244" i="20" s="1"/>
  <c r="F284" i="1"/>
  <c r="F146" i="1"/>
  <c r="O230" i="20"/>
  <c r="P230" i="20" s="1"/>
  <c r="R90" i="20"/>
  <c r="S90" i="20" s="1"/>
  <c r="J90" i="20" s="1"/>
  <c r="O58" i="20"/>
  <c r="P58" i="20" s="1"/>
  <c r="R113" i="20"/>
  <c r="S113" i="20" s="1"/>
  <c r="J113" i="20" s="1"/>
  <c r="F132" i="1"/>
  <c r="F244" i="1"/>
  <c r="O242" i="20"/>
  <c r="P242" i="20" s="1"/>
  <c r="O134" i="20"/>
  <c r="P134" i="20" s="1"/>
  <c r="F274" i="1"/>
  <c r="O191" i="20"/>
  <c r="P191" i="20" s="1"/>
  <c r="F71" i="1"/>
  <c r="O172" i="20"/>
  <c r="P172" i="20" s="1"/>
  <c r="F175" i="1"/>
  <c r="F267" i="1"/>
  <c r="F170" i="1"/>
  <c r="F253" i="1"/>
  <c r="F123" i="1"/>
  <c r="O153" i="20"/>
  <c r="P153" i="20" s="1"/>
  <c r="O65" i="20"/>
  <c r="P65" i="20" s="1"/>
  <c r="O139" i="20"/>
  <c r="P139" i="20" s="1"/>
  <c r="F189" i="1"/>
  <c r="O234" i="20"/>
  <c r="P234" i="20" s="1"/>
  <c r="O18" i="20"/>
  <c r="P18" i="20" s="1"/>
  <c r="T18" i="20" s="1"/>
  <c r="O184" i="20"/>
  <c r="P184" i="20" s="1"/>
  <c r="O107" i="20"/>
  <c r="P107" i="20" s="1"/>
  <c r="F260" i="1"/>
  <c r="F221" i="1"/>
  <c r="F262" i="1"/>
  <c r="O63" i="20"/>
  <c r="P63" i="20" s="1"/>
  <c r="R122" i="20"/>
  <c r="S122" i="20" s="1"/>
  <c r="J122" i="20" s="1"/>
  <c r="O55" i="20"/>
  <c r="P55" i="20" s="1"/>
  <c r="O237" i="20"/>
  <c r="P237" i="20" s="1"/>
  <c r="O64" i="20"/>
  <c r="P64" i="20" s="1"/>
  <c r="O57" i="20"/>
  <c r="P57" i="20" s="1"/>
  <c r="O166" i="20"/>
  <c r="P166" i="20" s="1"/>
  <c r="F256" i="1"/>
  <c r="O245" i="20"/>
  <c r="P245" i="20" s="1"/>
  <c r="F156" i="1"/>
  <c r="O61" i="20"/>
  <c r="P61" i="20" s="1"/>
  <c r="O67" i="20"/>
  <c r="P67" i="20" s="1"/>
  <c r="O96" i="20"/>
  <c r="P96" i="20" s="1"/>
  <c r="F279" i="1"/>
  <c r="F233" i="1"/>
  <c r="F245" i="1"/>
  <c r="O132" i="20"/>
  <c r="P132" i="20" s="1"/>
  <c r="O224" i="20"/>
  <c r="P224" i="20" s="1"/>
  <c r="O240" i="20"/>
  <c r="P240" i="20" s="1"/>
  <c r="F278" i="1"/>
  <c r="O91" i="20"/>
  <c r="P91" i="20" s="1"/>
  <c r="O255" i="20"/>
  <c r="P255" i="20" s="1"/>
  <c r="R108" i="20"/>
  <c r="S108" i="20" s="1"/>
  <c r="J108" i="20" s="1"/>
  <c r="O66" i="20"/>
  <c r="P66" i="20" s="1"/>
  <c r="O135" i="20"/>
  <c r="P135" i="20" s="1"/>
  <c r="O118" i="20"/>
  <c r="P118" i="20" s="1"/>
  <c r="F169" i="1"/>
  <c r="O85" i="20"/>
  <c r="P85" i="20" s="1"/>
  <c r="F251" i="1"/>
  <c r="O122" i="20"/>
  <c r="P122" i="20" s="1"/>
  <c r="F159" i="1"/>
  <c r="F226" i="1"/>
  <c r="F191" i="1"/>
  <c r="F95" i="1"/>
  <c r="F239" i="1"/>
  <c r="F107" i="1"/>
  <c r="F86" i="1"/>
  <c r="F177" i="1"/>
  <c r="F97" i="1"/>
  <c r="O215" i="20"/>
  <c r="P215" i="20" s="1"/>
  <c r="O80" i="20"/>
  <c r="P80" i="20" s="1"/>
  <c r="O186" i="20"/>
  <c r="P186" i="20" s="1"/>
  <c r="O113" i="20"/>
  <c r="P113" i="20" s="1"/>
  <c r="F196" i="1"/>
  <c r="F210" i="1"/>
  <c r="F145" i="1"/>
  <c r="R99" i="20"/>
  <c r="S99" i="20" s="1"/>
  <c r="J99" i="20" s="1"/>
  <c r="O217" i="20"/>
  <c r="P217" i="20" s="1"/>
  <c r="F69" i="1"/>
  <c r="O182" i="20"/>
  <c r="P182" i="20" s="1"/>
  <c r="F259" i="1"/>
  <c r="O142" i="20"/>
  <c r="P142" i="20" s="1"/>
  <c r="O180" i="20"/>
  <c r="P180" i="20" s="1"/>
  <c r="F112" i="1"/>
  <c r="O148" i="20"/>
  <c r="P148" i="20" s="1"/>
  <c r="O74" i="20"/>
  <c r="P74" i="20" s="1"/>
  <c r="F73" i="1"/>
  <c r="F91" i="1"/>
  <c r="F90" i="1"/>
  <c r="F190" i="1"/>
  <c r="O202" i="20"/>
  <c r="P202" i="20" s="1"/>
  <c r="F179" i="1"/>
  <c r="O165" i="20"/>
  <c r="P165" i="20" s="1"/>
  <c r="F200" i="1"/>
  <c r="F81" i="1"/>
  <c r="F225" i="1"/>
  <c r="O228" i="20"/>
  <c r="P228" i="20" s="1"/>
  <c r="F154" i="1"/>
  <c r="F254" i="1"/>
  <c r="F168" i="1"/>
  <c r="F203" i="1"/>
  <c r="F161" i="1"/>
  <c r="O95" i="20"/>
  <c r="P95" i="20" s="1"/>
  <c r="F129" i="1"/>
  <c r="O175" i="20"/>
  <c r="P175" i="20" s="1"/>
  <c r="O69" i="20"/>
  <c r="P69" i="20" s="1"/>
  <c r="F222" i="1"/>
  <c r="F116" i="1"/>
  <c r="O133" i="20"/>
  <c r="P133" i="20" s="1"/>
  <c r="F164" i="1"/>
  <c r="O222" i="20"/>
  <c r="P222" i="20" s="1"/>
  <c r="F114" i="1"/>
  <c r="R114" i="20"/>
  <c r="S114" i="20" s="1"/>
  <c r="J114" i="20" s="1"/>
  <c r="F276" i="1"/>
  <c r="O176" i="20"/>
  <c r="P176" i="20" s="1"/>
  <c r="F265" i="1"/>
  <c r="O161" i="20"/>
  <c r="P161" i="20" s="1"/>
  <c r="O241" i="20"/>
  <c r="P241" i="20" s="1"/>
  <c r="O219" i="20"/>
  <c r="P219" i="20" s="1"/>
  <c r="F106" i="1"/>
  <c r="F79" i="1"/>
  <c r="O218" i="20"/>
  <c r="P218" i="20" s="1"/>
  <c r="O225" i="20"/>
  <c r="P225" i="20" s="1"/>
  <c r="O128" i="20"/>
  <c r="P128" i="20" s="1"/>
  <c r="O156" i="20"/>
  <c r="P156" i="20" s="1"/>
  <c r="F228" i="1"/>
  <c r="O164" i="20"/>
  <c r="P164" i="20" s="1"/>
  <c r="R128" i="20"/>
  <c r="S128" i="20" s="1"/>
  <c r="J128" i="20" s="1"/>
  <c r="F192" i="1"/>
  <c r="F205" i="1"/>
  <c r="R161" i="20"/>
  <c r="S161" i="20" s="1"/>
  <c r="J161" i="20" s="1"/>
  <c r="O199" i="20"/>
  <c r="P199" i="20" s="1"/>
  <c r="R137" i="20"/>
  <c r="S137" i="20" s="1"/>
  <c r="J137" i="20" s="1"/>
  <c r="R71" i="20"/>
  <c r="S71" i="20" s="1"/>
  <c r="J71" i="20" s="1"/>
  <c r="R242" i="20"/>
  <c r="S242" i="20" s="1"/>
  <c r="J242" i="20" s="1"/>
  <c r="R255" i="20"/>
  <c r="S255" i="20" s="1"/>
  <c r="O195" i="20"/>
  <c r="P195" i="20" s="1"/>
  <c r="F96" i="1"/>
  <c r="F248" i="1"/>
  <c r="O93" i="20"/>
  <c r="P93" i="20" s="1"/>
  <c r="R110" i="20"/>
  <c r="S110" i="20" s="1"/>
  <c r="J110" i="20" s="1"/>
  <c r="R181" i="20"/>
  <c r="S181" i="20" s="1"/>
  <c r="J181" i="20" s="1"/>
  <c r="R256" i="20"/>
  <c r="S256" i="20" s="1"/>
  <c r="F223" i="1"/>
  <c r="F249" i="1"/>
  <c r="O192" i="20"/>
  <c r="P192" i="20" s="1"/>
  <c r="O167" i="20"/>
  <c r="P167" i="20" s="1"/>
  <c r="O138" i="20"/>
  <c r="P138" i="20" s="1"/>
  <c r="F202" i="1"/>
  <c r="O82" i="20"/>
  <c r="P82" i="20" s="1"/>
  <c r="F109" i="1"/>
  <c r="O108" i="20"/>
  <c r="P108" i="20" s="1"/>
  <c r="F100" i="1"/>
  <c r="O198" i="20"/>
  <c r="P198" i="20" s="1"/>
  <c r="F277" i="1"/>
  <c r="R162" i="20"/>
  <c r="S162" i="20" s="1"/>
  <c r="R166" i="20"/>
  <c r="S166" i="20" s="1"/>
  <c r="O181" i="20"/>
  <c r="P181" i="20" s="1"/>
  <c r="R233" i="20"/>
  <c r="S233" i="20" s="1"/>
  <c r="R244" i="20"/>
  <c r="S244" i="20" s="1"/>
  <c r="F143" i="1"/>
  <c r="R60" i="20"/>
  <c r="S60" i="20" s="1"/>
  <c r="J60" i="20" s="1"/>
  <c r="O90" i="20"/>
  <c r="P90" i="20" s="1"/>
  <c r="F151" i="1"/>
  <c r="R202" i="20"/>
  <c r="S202" i="20" s="1"/>
  <c r="J202" i="20" s="1"/>
  <c r="S247" i="20"/>
  <c r="T51" i="20" l="1"/>
  <c r="T50" i="20"/>
  <c r="S82" i="20"/>
  <c r="J82" i="20" s="1"/>
  <c r="S83" i="20"/>
  <c r="J83" i="20" s="1"/>
  <c r="T54" i="20"/>
  <c r="H13" i="2"/>
  <c r="D25" i="14" s="1"/>
  <c r="J55" i="20"/>
  <c r="H6" i="2"/>
  <c r="D18" i="14" s="1"/>
  <c r="T127" i="20"/>
  <c r="J245" i="20"/>
  <c r="H20" i="2"/>
  <c r="D32" i="14" s="1"/>
  <c r="H9" i="2"/>
  <c r="D21" i="14" s="1"/>
  <c r="H5" i="2"/>
  <c r="D17" i="14" s="1"/>
  <c r="G2" i="2"/>
  <c r="I2" i="2" s="1"/>
  <c r="G14" i="14" s="1"/>
  <c r="T95" i="20"/>
  <c r="T65" i="20"/>
  <c r="T88" i="20"/>
  <c r="T66" i="20"/>
  <c r="T68" i="20"/>
  <c r="T125" i="20"/>
  <c r="J216" i="20"/>
  <c r="H19" i="2"/>
  <c r="D31" i="14" s="1"/>
  <c r="G4" i="2"/>
  <c r="E16" i="14" s="1"/>
  <c r="T123" i="20"/>
  <c r="T52" i="20"/>
  <c r="T63" i="20"/>
  <c r="T119" i="20"/>
  <c r="T97" i="20"/>
  <c r="T192" i="20"/>
  <c r="T105" i="20"/>
  <c r="T53" i="20"/>
  <c r="T145" i="20"/>
  <c r="T131" i="20"/>
  <c r="T101" i="20"/>
  <c r="T129" i="20"/>
  <c r="T168" i="20"/>
  <c r="G3" i="2"/>
  <c r="E15" i="14" s="1"/>
  <c r="T133" i="20"/>
  <c r="T210" i="20"/>
  <c r="T75" i="20"/>
  <c r="T147" i="20"/>
  <c r="T213" i="20"/>
  <c r="T205" i="20"/>
  <c r="T72" i="20"/>
  <c r="T55" i="20"/>
  <c r="T124" i="20"/>
  <c r="T76" i="20"/>
  <c r="T243" i="20"/>
  <c r="T64" i="20"/>
  <c r="T178" i="20"/>
  <c r="T172" i="20"/>
  <c r="T74" i="20"/>
  <c r="T107" i="20"/>
  <c r="T189" i="20"/>
  <c r="T199" i="20"/>
  <c r="T157" i="20"/>
  <c r="T194" i="20"/>
  <c r="T100" i="20"/>
  <c r="T197" i="20"/>
  <c r="T185" i="20"/>
  <c r="T112" i="20"/>
  <c r="T81" i="20"/>
  <c r="T173" i="20"/>
  <c r="T170" i="20"/>
  <c r="T249" i="20"/>
  <c r="T57" i="20"/>
  <c r="T154" i="20"/>
  <c r="T70" i="20"/>
  <c r="T235" i="20"/>
  <c r="T151" i="20"/>
  <c r="T167" i="20"/>
  <c r="T247" i="20"/>
  <c r="T238" i="20"/>
  <c r="T190" i="20"/>
  <c r="T67" i="20"/>
  <c r="T139" i="20"/>
  <c r="T196" i="20"/>
  <c r="T58" i="20"/>
  <c r="T171" i="20"/>
  <c r="T246" i="20"/>
  <c r="T193" i="20"/>
  <c r="T211" i="20"/>
  <c r="T176" i="20"/>
  <c r="T62" i="20"/>
  <c r="T142" i="20"/>
  <c r="T96" i="20"/>
  <c r="T61" i="20"/>
  <c r="T109" i="20"/>
  <c r="T182" i="20"/>
  <c r="T136" i="20"/>
  <c r="T121" i="20"/>
  <c r="T195" i="20"/>
  <c r="J98" i="20"/>
  <c r="T98" i="20"/>
  <c r="T85" i="20"/>
  <c r="T203" i="20"/>
  <c r="T130" i="20"/>
  <c r="T208" i="20"/>
  <c r="T91" i="20"/>
  <c r="T56" i="20"/>
  <c r="T236" i="20"/>
  <c r="T200" i="20"/>
  <c r="T140" i="20"/>
  <c r="T186" i="20"/>
  <c r="T215" i="20"/>
  <c r="T134" i="20"/>
  <c r="T115" i="20"/>
  <c r="T73" i="20"/>
  <c r="T111" i="20"/>
  <c r="T209" i="20"/>
  <c r="T179" i="20"/>
  <c r="T245" i="20"/>
  <c r="T120" i="20"/>
  <c r="T92" i="20"/>
  <c r="T191" i="20"/>
  <c r="T159" i="20"/>
  <c r="T146" i="20"/>
  <c r="T78" i="20"/>
  <c r="T239" i="20"/>
  <c r="T187" i="20"/>
  <c r="T77" i="20"/>
  <c r="T206" i="20"/>
  <c r="T87" i="20"/>
  <c r="T207" i="20"/>
  <c r="T174" i="20"/>
  <c r="T241" i="20"/>
  <c r="T79" i="20"/>
  <c r="T175" i="20"/>
  <c r="T234" i="20"/>
  <c r="T59" i="20"/>
  <c r="T214" i="20"/>
  <c r="T180" i="20"/>
  <c r="T177" i="20"/>
  <c r="T226" i="20"/>
  <c r="T106" i="20"/>
  <c r="T117" i="20"/>
  <c r="J247" i="20"/>
  <c r="T251" i="20"/>
  <c r="T198" i="20"/>
  <c r="T143" i="20"/>
  <c r="T250" i="20"/>
  <c r="T228" i="20"/>
  <c r="T118" i="20"/>
  <c r="T237" i="20"/>
  <c r="T160" i="20"/>
  <c r="T188" i="20"/>
  <c r="T212" i="20"/>
  <c r="J223" i="20"/>
  <c r="T223" i="20"/>
  <c r="T153" i="20"/>
  <c r="J153" i="20"/>
  <c r="J163" i="20"/>
  <c r="T163" i="20"/>
  <c r="T150" i="20"/>
  <c r="T113" i="20"/>
  <c r="T126" i="20"/>
  <c r="T114" i="20"/>
  <c r="T201" i="20"/>
  <c r="T116" i="20"/>
  <c r="T132" i="20"/>
  <c r="T164" i="20"/>
  <c r="T69" i="20"/>
  <c r="T184" i="20"/>
  <c r="T240" i="20"/>
  <c r="T227" i="20"/>
  <c r="T156" i="20"/>
  <c r="T148" i="20"/>
  <c r="T135" i="20"/>
  <c r="H17" i="2"/>
  <c r="D29" i="14" s="1"/>
  <c r="T141" i="20"/>
  <c r="T93" i="20"/>
  <c r="T144" i="20"/>
  <c r="T225" i="20"/>
  <c r="T90" i="20"/>
  <c r="H18" i="2"/>
  <c r="D30" i="14" s="1"/>
  <c r="T94" i="20"/>
  <c r="H15" i="2"/>
  <c r="D27" i="14" s="1"/>
  <c r="T165" i="20"/>
  <c r="T222" i="20"/>
  <c r="T224" i="20"/>
  <c r="T183" i="20"/>
  <c r="T138" i="20"/>
  <c r="J162" i="20"/>
  <c r="T162" i="20"/>
  <c r="T108" i="20"/>
  <c r="T128" i="20"/>
  <c r="H11" i="2"/>
  <c r="D23" i="14" s="1"/>
  <c r="T218" i="20"/>
  <c r="J97" i="20"/>
  <c r="T248" i="20"/>
  <c r="T255" i="20"/>
  <c r="T122" i="20"/>
  <c r="T229" i="20"/>
  <c r="H10" i="2"/>
  <c r="D22" i="14" s="1"/>
  <c r="J233" i="20"/>
  <c r="T233" i="20"/>
  <c r="J256" i="20"/>
  <c r="T256" i="20"/>
  <c r="T166" i="20"/>
  <c r="J166" i="20"/>
  <c r="J244" i="20"/>
  <c r="T244" i="20"/>
  <c r="J105" i="20"/>
  <c r="T252" i="20"/>
  <c r="J238" i="20"/>
  <c r="J246" i="20"/>
  <c r="T220" i="20"/>
  <c r="T169" i="20"/>
  <c r="H7" i="2"/>
  <c r="D19" i="14" s="1"/>
  <c r="T137" i="20"/>
  <c r="H14" i="2"/>
  <c r="D26" i="14" s="1"/>
  <c r="T181" i="20"/>
  <c r="T253" i="20"/>
  <c r="T221" i="20"/>
  <c r="H12" i="2"/>
  <c r="D24" i="14" s="1"/>
  <c r="J106" i="20"/>
  <c r="T71" i="20"/>
  <c r="H16" i="2"/>
  <c r="D28" i="14" s="1"/>
  <c r="T99" i="20"/>
  <c r="T230" i="20"/>
  <c r="T202" i="20"/>
  <c r="T110" i="20"/>
  <c r="T60" i="20"/>
  <c r="T103" i="20"/>
  <c r="T102" i="20"/>
  <c r="J155" i="20"/>
  <c r="T219" i="20"/>
  <c r="T155" i="20"/>
  <c r="T254" i="20"/>
  <c r="T104" i="20"/>
  <c r="T158" i="20"/>
  <c r="T232" i="20"/>
  <c r="T231" i="20"/>
  <c r="T161" i="20"/>
  <c r="T86" i="20"/>
  <c r="J255" i="20"/>
  <c r="T89" i="20"/>
  <c r="T152" i="20"/>
  <c r="T216" i="20"/>
  <c r="T217" i="20"/>
  <c r="T149" i="20"/>
  <c r="J235" i="20"/>
  <c r="T84" i="20"/>
  <c r="T242" i="20"/>
  <c r="T80" i="20"/>
  <c r="T83" i="20" l="1"/>
  <c r="H8" i="2"/>
  <c r="D20" i="14" s="1"/>
  <c r="T82" i="20"/>
  <c r="G13" i="2"/>
  <c r="G6" i="2"/>
  <c r="G5" i="2"/>
  <c r="E17" i="14" s="1"/>
  <c r="G9" i="2"/>
  <c r="E14" i="14"/>
  <c r="I4" i="2"/>
  <c r="G16" i="14" s="1"/>
  <c r="I3" i="2"/>
  <c r="G15" i="14" s="1"/>
  <c r="G16" i="2"/>
  <c r="E28" i="14" s="1"/>
  <c r="G15" i="2"/>
  <c r="E27" i="14" s="1"/>
  <c r="G17" i="2"/>
  <c r="E29" i="14" s="1"/>
  <c r="G18" i="2"/>
  <c r="I18" i="2" s="1"/>
  <c r="G30" i="14" s="1"/>
  <c r="G20" i="2"/>
  <c r="G7" i="2"/>
  <c r="E19" i="14" s="1"/>
  <c r="G10" i="2"/>
  <c r="E22" i="14" s="1"/>
  <c r="G14" i="2"/>
  <c r="E26" i="14" s="1"/>
  <c r="G11" i="2"/>
  <c r="E23" i="14" s="1"/>
  <c r="G19" i="2"/>
  <c r="G12" i="2"/>
  <c r="I12" i="2" s="1"/>
  <c r="G24" i="14" s="1"/>
  <c r="G8" i="2"/>
  <c r="E20" i="14" s="1"/>
  <c r="H21" i="2" l="1"/>
  <c r="D34" i="14" s="1"/>
  <c r="E25" i="14"/>
  <c r="I13" i="2"/>
  <c r="G25" i="14" s="1"/>
  <c r="I5" i="2"/>
  <c r="G17" i="14" s="1"/>
  <c r="E18" i="14"/>
  <c r="I6" i="2"/>
  <c r="G18" i="14" s="1"/>
  <c r="E32" i="14"/>
  <c r="I20" i="2"/>
  <c r="G32" i="14" s="1"/>
  <c r="E21" i="14"/>
  <c r="I9" i="2"/>
  <c r="G21" i="14" s="1"/>
  <c r="E31" i="14"/>
  <c r="I19" i="2"/>
  <c r="G31" i="14" s="1"/>
  <c r="I16" i="2"/>
  <c r="G28" i="14" s="1"/>
  <c r="I15" i="2"/>
  <c r="G27" i="14" s="1"/>
  <c r="I17" i="2"/>
  <c r="G29" i="14" s="1"/>
  <c r="E30" i="14"/>
  <c r="I10" i="2"/>
  <c r="G22" i="14" s="1"/>
  <c r="I7" i="2"/>
  <c r="G19" i="14" s="1"/>
  <c r="I14" i="2"/>
  <c r="G26" i="14" s="1"/>
  <c r="I11" i="2"/>
  <c r="G23" i="14" s="1"/>
  <c r="E24" i="14"/>
  <c r="I8" i="2"/>
  <c r="G20" i="14" s="1"/>
  <c r="G21" i="2"/>
  <c r="I21" i="2" s="1"/>
  <c r="G34" i="14" s="1"/>
  <c r="E33" i="14" l="1"/>
  <c r="E34" i="14"/>
</calcChain>
</file>

<file path=xl/sharedStrings.xml><?xml version="1.0" encoding="utf-8"?>
<sst xmlns="http://schemas.openxmlformats.org/spreadsheetml/2006/main" count="7911" uniqueCount="3509">
  <si>
    <t xml:space="preserve">Worksheet to introduce the Higher Education Community Vendor Assessment Toolkit (HECVAT) and explain what it is. </t>
  </si>
  <si>
    <t>Shared Assessments Introduction</t>
  </si>
  <si>
    <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to, and reviewing such assessments.</t>
  </si>
  <si>
    <r>
      <t xml:space="preserve">The </t>
    </r>
    <r>
      <rPr>
        <b/>
        <sz val="11"/>
        <color rgb="FF000000"/>
        <rFont val="Verdana"/>
        <family val="2"/>
      </rPr>
      <t>Higher Education Community Vendor Assessment Toolkit (HECVAT)</t>
    </r>
    <r>
      <rPr>
        <sz val="11"/>
        <color rgb="FF000000"/>
        <rFont val="Verdana"/>
        <family val="2"/>
      </rPr>
      <t xml:space="preserve"> attempts to generalize higher education information security and data protections and issues for consistency and ease of use. Some institutions may have specific issues that must be addressed in addition to the general question sets provided in the toolkit. It is anticipated that the HECVAT will be revised over time to account for changes in services provisioning and the information security and data protection needs of higher education institutions.</t>
    </r>
  </si>
  <si>
    <t>The Higher Education Community Vendor Assessment Toolkit:</t>
  </si>
  <si>
    <t xml:space="preserve">● Helps higher education institutions ensure that vendor services are appropriately assessed for security and privacy needs, including some that are unique to higher education. </t>
  </si>
  <si>
    <t>● Allows a consistent, easily adopted methodology for campuses wishing to reduce costs through vendor services without increasing risks.</t>
  </si>
  <si>
    <t>● Reduces the burden that service providers face in responding to requests for security assessments from higher education institutions.</t>
  </si>
  <si>
    <t>The Higher Education Community Vendor Assessment Toolkit is a suite of tools built around the original HECVAT (known now as HECVAT - Full) to allow institutions to adopt, implement, and maintain a consistent risk/security assessment program. Tools include:</t>
  </si>
  <si>
    <r>
      <t xml:space="preserve">● </t>
    </r>
    <r>
      <rPr>
        <b/>
        <sz val="11"/>
        <color rgb="FF000000"/>
        <rFont val="Verdana"/>
        <family val="2"/>
      </rPr>
      <t>HECVAT - Triage:</t>
    </r>
    <r>
      <rPr>
        <sz val="11"/>
        <color rgb="FF000000"/>
        <rFont val="Verdana"/>
        <family val="2"/>
      </rPr>
      <t xml:space="preserve"> Used to initiate risk/security assessment requests; review to determine assessment requirements</t>
    </r>
  </si>
  <si>
    <r>
      <t xml:space="preserve">● </t>
    </r>
    <r>
      <rPr>
        <b/>
        <sz val="11"/>
        <color rgb="FFFF0000"/>
        <rFont val="Verdana"/>
        <family val="2"/>
      </rPr>
      <t>HECVAT - Full:</t>
    </r>
    <r>
      <rPr>
        <sz val="11"/>
        <color rgb="FF000000"/>
        <rFont val="Verdana"/>
        <family val="2"/>
      </rPr>
      <t xml:space="preserve"> Robust questionnaire used to assess the most critical data-sharing engagements</t>
    </r>
  </si>
  <si>
    <r>
      <t xml:space="preserve">● </t>
    </r>
    <r>
      <rPr>
        <b/>
        <sz val="11"/>
        <color rgb="FF000000"/>
        <rFont val="Verdana"/>
        <family val="2"/>
      </rPr>
      <t>HECVAT - Lite:</t>
    </r>
    <r>
      <rPr>
        <sz val="11"/>
        <color rgb="FF000000"/>
        <rFont val="Verdana"/>
        <family val="2"/>
      </rPr>
      <t xml:space="preserve"> A lightweight questionnaire used to expedite the process </t>
    </r>
  </si>
  <si>
    <r>
      <t xml:space="preserve">● </t>
    </r>
    <r>
      <rPr>
        <b/>
        <sz val="11"/>
        <color rgb="FF000000"/>
        <rFont val="Verdana"/>
        <family val="2"/>
      </rPr>
      <t>HECVAT - On-Premise:</t>
    </r>
    <r>
      <rPr>
        <sz val="11"/>
        <color rgb="FF000000"/>
        <rFont val="Verdana"/>
        <family val="2"/>
      </rPr>
      <t xml:space="preserve"> Unique questionnaire used to evaluate on-premise appliances and software</t>
    </r>
  </si>
  <si>
    <t>The HECVAT (and Toolkit) was created by the Higher Education Information Security Council Shared Assessments Working Group. Its purpose is to provide a starting point for the assessment of vendor provided services and resources.  </t>
  </si>
  <si>
    <t>The current version, documentation, and other information about HECVAT can be found at:</t>
  </si>
  <si>
    <t>https://www.educause.edu/hecvat</t>
  </si>
  <si>
    <t>A listing of completed HECVATs can be found in the REN-ISAC Community Broker Index at:</t>
  </si>
  <si>
    <t>https://www.ren-isac.net/hecvat/cbi.html</t>
  </si>
  <si>
    <t>Connect with your higher education peers by joining the EDUCAUSE HECVAT Users Community Group at https://connect.educause.edu</t>
  </si>
  <si>
    <t>If you would like to reach out to the HECVAT Team, we can be reached at: hecvat@educause.edu.</t>
  </si>
  <si>
    <t>(C) EDUCAUSE 2023</t>
  </si>
  <si>
    <t>This work is licensed under a Creative Commons Attribution-Noncommercial-ShareAlike 4.0 International License (CC BY-NC-SA 4.0).</t>
  </si>
  <si>
    <t>This Higher Education Cloud Vendor Assessment Toolkit is brought to you by the Higher Education Information Security Council, and members from EDUCAUSE, Internet2, and the Research and Education Networking Information Sharing and Analysis Center (REN-ISAC).</t>
  </si>
  <si>
    <t>Proceed to the next tab, Instructions.</t>
  </si>
  <si>
    <t xml:space="preserve">End of worksheet </t>
  </si>
  <si>
    <t xml:space="preserve">This worksheet contains instructions and examples on how to use the rest of the workbook. </t>
  </si>
  <si>
    <t>HECVAT - Full | Instructions</t>
  </si>
  <si>
    <t>Target Audience</t>
  </si>
  <si>
    <r>
      <t xml:space="preserve">These instructions are for </t>
    </r>
    <r>
      <rPr>
        <b/>
        <sz val="11"/>
        <color rgb="FF000000"/>
        <rFont val="Verdana"/>
        <family val="2"/>
      </rPr>
      <t>vendors</t>
    </r>
    <r>
      <rPr>
        <sz val="11"/>
        <color indexed="8"/>
        <rFont val="Verdana"/>
        <family val="2"/>
      </rPr>
      <t xml:space="preserve"> interested in providing the institution with a software and/or a service and for </t>
    </r>
    <r>
      <rPr>
        <b/>
        <sz val="11"/>
        <color rgb="FF000000"/>
        <rFont val="Verdana"/>
        <family val="2"/>
      </rPr>
      <t>security assessors</t>
    </r>
    <r>
      <rPr>
        <sz val="11"/>
        <color indexed="8"/>
        <rFont val="Verdana"/>
        <family val="2"/>
      </rPr>
      <t xml:space="preserve"> assessing the software and/or service. The purpose of this worksheet (i.e., the HECVAT - Lite tab) is for a vendor to submit robust security safeguard information in regards to the product (software/service) being assessed in the Institution's assessment process. Consumers do not populate this tool.</t>
    </r>
  </si>
  <si>
    <t>Document Layout</t>
  </si>
  <si>
    <r>
      <t xml:space="preserve">There are five main sections of the Higher Education Community Vendor Assessment Tool - Full, all listed below and outlined in more detail. This document is designed to have the first two sections populated first; after the Qualifiers section is completed it can be populated in any order. Within each section, answer each question top to 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Full | Vendor Response tab</t>
    </r>
    <r>
      <rPr>
        <sz val="11"/>
        <color rgb="FF000000"/>
        <rFont val="Verdana"/>
        <family val="2"/>
      </rPr>
      <t>.</t>
    </r>
  </si>
  <si>
    <t>General Information</t>
  </si>
  <si>
    <t>This section is self-explanatory; product specifics and contact information. GNRL-01 through GNRL-15 should be populated by the vendor.</t>
  </si>
  <si>
    <t>Qualifiers</t>
  </si>
  <si>
    <r>
      <t xml:space="preserve">Populate this section </t>
    </r>
    <r>
      <rPr>
        <b/>
        <sz val="11"/>
        <color indexed="8"/>
        <rFont val="Verdana"/>
        <family val="2"/>
      </rPr>
      <t>completely</t>
    </r>
    <r>
      <rPr>
        <sz val="11"/>
        <color indexed="8"/>
        <rFont val="Verdana"/>
        <family val="2"/>
      </rPr>
      <t xml:space="preserve"> before continuing. Answers in this section can determine which sections will be required for this assessment. By answering "No" to Qualifiers, their matched sections become optional and are highlighted in orange.</t>
    </r>
  </si>
  <si>
    <t>Documentation</t>
  </si>
  <si>
    <t>Focused on external documentation; the institution is interested in the frameworks that guide your security strategy and what has been done to certify these implementations.</t>
  </si>
  <si>
    <t>Company Overview</t>
  </si>
  <si>
    <t>This section is focused on company background, size, and business area experience.</t>
  </si>
  <si>
    <t>Safeguards</t>
  </si>
  <si>
    <t>The remainder of the document consists of various safeguards, grouped generally by section.</t>
  </si>
  <si>
    <t>In sections where vendor input is required, there are only one or two columns that need modification, Vendor Answers and Additional Information, columns C and D respectively (see Figure 1 below). You will see that sometimes C and D are separate and other times are merged. If they are separate, C will be a selectable, drop-down box and any supporting information should be added to column D. If C and D are merged, the question is looking for the answer to be in narrative form. At the far right is a column titled “Guidance.” After answering questions, check this column to ensure you have submitted information/documentation to sufficiently answer the question. Use the “Additional Information” column to provide any requested details.</t>
  </si>
  <si>
    <t xml:space="preserve">Figure 1: </t>
  </si>
  <si>
    <t>Optional Safeguards Based on Qualifiers</t>
  </si>
  <si>
    <t>Not all questions are relevant to all vendors. Qualifiers are used to make whole sections optional to vendors depending on the scope of product usage and the data involved in the engagement being assessed. Sections that become optional have the section titles and questions highlighted in orange (see Figure 2). For this example, questions in the HIPAA section become optional based on the answer to QUAL-01.</t>
  </si>
  <si>
    <t xml:space="preserve">Figure 2: </t>
  </si>
  <si>
    <t>Definitions</t>
  </si>
  <si>
    <t>Institution</t>
  </si>
  <si>
    <t>Any school, college, or university using the Higher Education Community Vendor Assessment Tool</t>
  </si>
  <si>
    <t>Vendor Hosting Regions</t>
  </si>
  <si>
    <t>The country/region in which the vendor's infrastructure(s) is/are located, including all laws and regulations in-scope within that country/region</t>
  </si>
  <si>
    <t>Vendor Work Locations</t>
  </si>
  <si>
    <t>The country/region(s) in which the vendor's employees and subcontractors are located</t>
  </si>
  <si>
    <t>Data Reporting and Scoring</t>
  </si>
  <si>
    <t>Note for institution assessors and vendors: Until an institution assesses HECVAT responses, the scoring is incomplete. Assessors must complete Step 2 in the Analyst Report tab to convert qualitative responses to quantitative values. Once this step is complete, the scoring system is fully populated.</t>
  </si>
  <si>
    <t>Proceed to the next tab, HECVAT - Full | Vendor Response</t>
  </si>
  <si>
    <t>Assessment Instructions For Risk/Security Assessors</t>
  </si>
  <si>
    <r>
      <t xml:space="preserve">1. </t>
    </r>
    <r>
      <rPr>
        <b/>
        <sz val="11"/>
        <color rgb="FF000000"/>
        <rFont val="Verdana"/>
        <family val="2"/>
      </rPr>
      <t xml:space="preserve">Begin </t>
    </r>
    <r>
      <rPr>
        <sz val="11"/>
        <color rgb="FF000000"/>
        <rFont val="Verdana"/>
        <family val="2"/>
      </rPr>
      <t>your assessment by selecting</t>
    </r>
    <r>
      <rPr>
        <sz val="11"/>
        <color indexed="8"/>
        <rFont val="Verdana"/>
        <family val="2"/>
      </rPr>
      <t xml:space="preserve"> the Analyst Report tab.
2. </t>
    </r>
    <r>
      <rPr>
        <b/>
        <sz val="11"/>
        <color rgb="FF000000"/>
        <rFont val="Verdana"/>
        <family val="2"/>
      </rPr>
      <t>Select</t>
    </r>
    <r>
      <rPr>
        <sz val="11"/>
        <color indexed="8"/>
        <rFont val="Verdana"/>
        <family val="2"/>
      </rPr>
      <t xml:space="preserve"> the appropriate security standard used in your institution (cell C10) before you begin. 
3. </t>
    </r>
    <r>
      <rPr>
        <b/>
        <sz val="11"/>
        <color rgb="FF000000"/>
        <rFont val="Verdana"/>
        <family val="2"/>
      </rPr>
      <t>Select</t>
    </r>
    <r>
      <rPr>
        <sz val="11"/>
        <color indexed="8"/>
        <rFont val="Verdana"/>
        <family val="2"/>
      </rPr>
      <t xml:space="preserve"> compliant states for vendor responses in column G. </t>
    </r>
    <r>
      <rPr>
        <b/>
        <sz val="11"/>
        <color rgb="FF000000"/>
        <rFont val="Verdana"/>
        <family val="2"/>
      </rPr>
      <t>Yes</t>
    </r>
    <r>
      <rPr>
        <sz val="11"/>
        <color indexed="8"/>
        <rFont val="Verdana"/>
        <family val="2"/>
      </rPr>
      <t xml:space="preserve"> means compliant. </t>
    </r>
    <r>
      <rPr>
        <b/>
        <sz val="11"/>
        <color rgb="FF000000"/>
        <rFont val="Verdana"/>
        <family val="2"/>
      </rPr>
      <t>No</t>
    </r>
    <r>
      <rPr>
        <sz val="11"/>
        <color indexed="8"/>
        <rFont val="Verdana"/>
        <family val="2"/>
      </rPr>
      <t xml:space="preserve"> means not compliant.
    Note: Review the Analyst Reference tab for guidance and question/response interpretation.
4. </t>
    </r>
    <r>
      <rPr>
        <b/>
        <sz val="11"/>
        <color rgb="FF000000"/>
        <rFont val="Verdana"/>
        <family val="2"/>
      </rPr>
      <t>Override</t>
    </r>
    <r>
      <rPr>
        <sz val="11"/>
        <color indexed="8"/>
        <rFont val="Verdana"/>
        <family val="2"/>
      </rPr>
      <t xml:space="preserve"> default weights to meet your institution's needs in column I. 
5. </t>
    </r>
    <r>
      <rPr>
        <b/>
        <sz val="11"/>
        <color rgb="FF000000"/>
        <rFont val="Verdana"/>
        <family val="2"/>
      </rPr>
      <t>Navigate</t>
    </r>
    <r>
      <rPr>
        <sz val="11"/>
        <color indexed="8"/>
        <rFont val="Verdana"/>
        <family val="2"/>
      </rPr>
      <t xml:space="preserve"> to the Summary Report tab once all responses are evaluated and compliance indicated, as appropriate.
6. </t>
    </r>
    <r>
      <rPr>
        <b/>
        <sz val="11"/>
        <color rgb="FF000000"/>
        <rFont val="Verdana"/>
        <family val="2"/>
      </rPr>
      <t>Review</t>
    </r>
    <r>
      <rPr>
        <sz val="11"/>
        <color indexed="8"/>
        <rFont val="Verdana"/>
        <family val="2"/>
      </rPr>
      <t xml:space="preserve"> details in the Summary Report and based on your assessment findings, follow up with vendor for clarification(s) or add the Summary Report output to your institution's reporting documents. 
7. </t>
    </r>
    <r>
      <rPr>
        <b/>
        <sz val="11"/>
        <color rgb="FF000000"/>
        <rFont val="Verdana"/>
        <family val="2"/>
      </rPr>
      <t>Connect</t>
    </r>
    <r>
      <rPr>
        <sz val="11"/>
        <color indexed="8"/>
        <rFont val="Verdana"/>
        <family val="2"/>
      </rPr>
      <t xml:space="preserve"> with your higher education peers by joining the EDUCAUSE HECVAT Users Community Group at https://connect.educause.edu.</t>
    </r>
  </si>
  <si>
    <t xml:space="preserve">Cells contained in this worksheet may contain cells with dropdown lists as well as autopopulated formulas. </t>
  </si>
  <si>
    <t>HECVAT - Full | Vendor Response</t>
  </si>
  <si>
    <t>Version 3.06</t>
  </si>
  <si>
    <t>Vendor Response</t>
  </si>
  <si>
    <t>DATE-01</t>
  </si>
  <si>
    <t>Date</t>
  </si>
  <si>
    <r>
      <t xml:space="preserve">In order to protect the institution and its systems, vendors whose products and/or services (refered to as "product") will access and/or host institutional data must complete the Higher Education Community Vendor Assessment Toolkit (HECVAT). Throughout this tool, anywhere where the term "data" is used, this is an all-encompassing term including at least data and metadata. Answers will be reviewed by institutional security analysts upon submittal. This process will assist the institution in preventing breaches of protected information and comply with institutional policy and state and federal laws. This is intended for use by vendors participating in a Third Party Security Assessment and should be completed by a vendor. Review the </t>
    </r>
    <r>
      <rPr>
        <i/>
        <sz val="12"/>
        <color theme="1"/>
        <rFont val="Verdana"/>
        <family val="2"/>
      </rPr>
      <t>Instructions</t>
    </r>
    <r>
      <rPr>
        <sz val="12"/>
        <color theme="1"/>
        <rFont val="Verdana"/>
        <family val="2"/>
      </rPr>
      <t xml:space="preserve"> tab for further guidance.</t>
    </r>
  </si>
  <si>
    <t>GNRL-01 through GNRL-08; populated by the Vendor</t>
  </si>
  <si>
    <t>GNRL-01</t>
  </si>
  <si>
    <t>Weave Education, LLC</t>
  </si>
  <si>
    <t>GNRL-02</t>
  </si>
  <si>
    <t>Weave v1.0</t>
  </si>
  <si>
    <t>GNRL-03</t>
  </si>
  <si>
    <t>Weave’s accreditation software is uniquely designed for institutional effectiveness and empowers higher education leaders to prepare for their institutional and programmatic accreditations.</t>
  </si>
  <si>
    <t>GNRL-04</t>
  </si>
  <si>
    <t>https://weaveeducation.com/privacy-policy/</t>
  </si>
  <si>
    <t>GNRL-05</t>
  </si>
  <si>
    <t>https://www.vendor.domain/accessibilitystatement</t>
  </si>
  <si>
    <t>GNRL-06</t>
  </si>
  <si>
    <t>Laura Francabandera</t>
  </si>
  <si>
    <t>GNRL-07</t>
  </si>
  <si>
    <t>Compliance Consultant</t>
  </si>
  <si>
    <t>GNRL-08</t>
  </si>
  <si>
    <t>laura@weaveeducation.com</t>
  </si>
  <si>
    <t>GNRL-09</t>
  </si>
  <si>
    <t>877-876-1430</t>
  </si>
  <si>
    <t>GNRL-10</t>
  </si>
  <si>
    <t>GNRL-11</t>
  </si>
  <si>
    <t>GNRL-12</t>
  </si>
  <si>
    <t>GNRL-13</t>
  </si>
  <si>
    <t>GNRL-14</t>
  </si>
  <si>
    <t>United States</t>
  </si>
  <si>
    <t>GNRL-15</t>
  </si>
  <si>
    <t>End Table Data</t>
  </si>
  <si>
    <t>Instructions</t>
  </si>
  <si>
    <r>
      <rPr>
        <b/>
        <sz val="12"/>
        <color theme="1"/>
        <rFont val="Verdana"/>
        <family val="2"/>
      </rPr>
      <t xml:space="preserve">Step 1: </t>
    </r>
    <r>
      <rPr>
        <sz val="12"/>
        <color theme="1"/>
        <rFont val="Verdana"/>
        <family val="2"/>
      </rPr>
      <t xml:space="preserve">Complete the </t>
    </r>
    <r>
      <rPr>
        <i/>
        <sz val="12"/>
        <color theme="1"/>
        <rFont val="Verdana"/>
        <family val="2"/>
      </rPr>
      <t>Qualifiers</t>
    </r>
    <r>
      <rPr>
        <sz val="12"/>
        <color theme="1"/>
        <rFont val="Verdana"/>
        <family val="2"/>
      </rPr>
      <t xml:space="preserve"> section first; responses in this section drive dictate question response requirements throughout the HECVAT Full.
</t>
    </r>
    <r>
      <rPr>
        <b/>
        <sz val="12"/>
        <color theme="1"/>
        <rFont val="Verdana"/>
        <family val="2"/>
      </rPr>
      <t xml:space="preserve">Step 2: </t>
    </r>
    <r>
      <rPr>
        <sz val="12"/>
        <color theme="1"/>
        <rFont val="Verdana"/>
        <family val="2"/>
      </rPr>
      <t xml:space="preserve">Complete each section, answering each set of questions in order from top to bottom; the built-in formatting logic relies on this order. 
</t>
    </r>
    <r>
      <rPr>
        <b/>
        <sz val="12"/>
        <color theme="1"/>
        <rFont val="Verdana"/>
        <family val="2"/>
      </rPr>
      <t xml:space="preserve">Step 3: </t>
    </r>
    <r>
      <rPr>
        <sz val="12"/>
        <color theme="1"/>
        <rFont val="Verdana"/>
        <family val="2"/>
      </rPr>
      <t>Submit the completed Higher Education Community Vendor Assessment Toolkit (HECVAT) to the institution according to institutional procedures.</t>
    </r>
  </si>
  <si>
    <t>Vendor Answers</t>
  </si>
  <si>
    <t>Additional Information</t>
  </si>
  <si>
    <t>Guidance</t>
  </si>
  <si>
    <t>Analyst Notes</t>
  </si>
  <si>
    <r>
      <t xml:space="preserve">The institution conducts Third Party Security Assessments on a variety of third parties. As such, not all assessment questions are relevant to each party. To alleviate complexity, a "qualifier" strategy is implemented and allows for various parties to utilize this common documentation instrument. </t>
    </r>
    <r>
      <rPr>
        <b/>
        <sz val="12"/>
        <color theme="1"/>
        <rFont val="Verdana"/>
        <family val="2"/>
      </rPr>
      <t>Responses to the following questions will determine the need to answer additional questions below</t>
    </r>
    <r>
      <rPr>
        <sz val="12"/>
        <color theme="1"/>
        <rFont val="Verdana"/>
        <family val="2"/>
      </rPr>
      <t xml:space="preserve">. </t>
    </r>
  </si>
  <si>
    <t>QUAL-01</t>
  </si>
  <si>
    <t>No</t>
  </si>
  <si>
    <t>QUAL-02</t>
  </si>
  <si>
    <t>Yes</t>
  </si>
  <si>
    <t>Weave is hosted on AWS and Mongo Db</t>
  </si>
  <si>
    <t>QUAL-03</t>
  </si>
  <si>
    <t>Weave has a BCP that contains a detailed Incident Response Plan and Contingency Plans. The BCP and IRP are tested via tabletop exercise annually.</t>
  </si>
  <si>
    <t>QUAL-04</t>
  </si>
  <si>
    <t>DRP is inherited via IaaS provider AWS. Data and backups are in multiple Availability Zones to add redundancy and extra cold site back up. The DRP is tested via tabletop exercise annually.</t>
  </si>
  <si>
    <t>QUAL-05</t>
  </si>
  <si>
    <t>QUAL-06</t>
  </si>
  <si>
    <t>QUAL-07</t>
  </si>
  <si>
    <t>4) AWS</t>
  </si>
  <si>
    <t>COMP-01</t>
  </si>
  <si>
    <t>Initially developed by faculty and administrators at Virginia Commonwealth University to address assessment within the context of accreditation, Weave is both a software application and a community of expertise. Over 300 institutions have trusted Weave as their accreditation, assessment, and planning solution. Our legacy application, WEAVEonline, was the first solution licensed outside of VCU in 2004. Centrieva, LLC, the parent company of Weave’s services, was formed as a corporate entity in 2006. In 2023, Centrieva, LLC changed to Weave Education, LLC.</t>
  </si>
  <si>
    <t>COMP-02</t>
  </si>
  <si>
    <t xml:space="preserve"> </t>
  </si>
  <si>
    <t>COMP-03</t>
  </si>
  <si>
    <t>The Information Security team includes the Security Manager, System Owner, Compliance Consultant, and CTO.</t>
  </si>
  <si>
    <t>COMP-04</t>
  </si>
  <si>
    <t xml:space="preserve"> The Software and System Development teams include a product manager, 2 developers, a UX designer, lead engineer, quality assurance, and a security manager</t>
  </si>
  <si>
    <t>COMP-05</t>
  </si>
  <si>
    <t>Security training is reviewed by security team quarterly and training is updated as needed. Employees are expected to participate in training and are tested annually to confirm compliance and understanding of policies. Security training is reviewed by security team quarterly and training is updated as needed. Employees are expected to participate in training and are tested annually to confirm compliance and understanding of policies. New employees onboarding process including security training, quiz, signed Code of Conduct and Rules of Behavior, background checks, understanding and accpetance of Weave's Security Policy</t>
  </si>
  <si>
    <t>DOCU-01</t>
  </si>
  <si>
    <t>Weave Education uses Amazon AWS for IaaC. Amazon's SOC 2 and 3 reports are available via AWS Artifact.</t>
  </si>
  <si>
    <t>DOCU-02</t>
  </si>
  <si>
    <t>CAIQ is currently in progress and exptected to be completed by end of 2025</t>
  </si>
  <si>
    <t>DOCU-03</t>
  </si>
  <si>
    <t xml:space="preserve"> Expected in early 2026</t>
  </si>
  <si>
    <t>DOCU-04</t>
  </si>
  <si>
    <t xml:space="preserve"> Weave is certified on its NIST Cybsersecurity Framework by being TX-RAMP Level 2 provisionally certified. </t>
  </si>
  <si>
    <t>DOCU-05</t>
  </si>
  <si>
    <t xml:space="preserve">Weave is partially compliant because it built its security program around the NIST 800-53 framework. Currently Weave does not plan on CMMC certification. </t>
  </si>
  <si>
    <t>DOCU-06</t>
  </si>
  <si>
    <t xml:space="preserve"> Network and data flow diagrams are available upon request and system owner approval.</t>
  </si>
  <si>
    <t>DOCU-07</t>
  </si>
  <si>
    <t>DOCU-08</t>
  </si>
  <si>
    <t>Weave Education has a Personnel Security policy and procedure, which includes processes for employee onboarding, offboarding, and transfers.</t>
  </si>
  <si>
    <t>DOCU-09</t>
  </si>
  <si>
    <t>Weave Education developed and documented the baseline configuration for the platform and its components / services. As changes are made to the configuration baseline through releases deployed to the platform, the System Administrators maintain the baseline configuration to reflect the current configuration. With each release or change, the Security Manager completes a security review and either approves the change or sends it back.</t>
  </si>
  <si>
    <t>DOCU-10</t>
  </si>
  <si>
    <t>Yes. Weave is WCAG 2.1 Level AA compliant. A VPAT, dated 9/1/25, can be found online and or upon request.</t>
  </si>
  <si>
    <t>DOCU-11</t>
  </si>
  <si>
    <t>Accessibility documentation for the platform will be available upon request.</t>
  </si>
  <si>
    <t xml:space="preserve">IT Accessibility </t>
  </si>
  <si>
    <t>ITAC-01</t>
  </si>
  <si>
    <t>Weave employs an accessibility consultant who condusts thorough accessibility audit of both the production version of any forthcoming features and updates while they are still in pre-production.</t>
  </si>
  <si>
    <t>ITAC-02</t>
  </si>
  <si>
    <t>Weave has an internally created accessibility testing suite with includes both automated scans, such as the WAVE Accessibility Tool and manual tests, which include keyboard and screen reader navigation. This is repeated each year, when there is a major WCAG or Weave system change.</t>
  </si>
  <si>
    <t>ITAC-03</t>
  </si>
  <si>
    <t>Weave has adopted WCAG 2.1 Level AA as its baseline accessibility standards of conformance.</t>
  </si>
  <si>
    <t>ITAC-04</t>
  </si>
  <si>
    <t>Typically available upon request, our product roadmap run about 18 months into the future</t>
  </si>
  <si>
    <t>ITAC-05</t>
  </si>
  <si>
    <t>Weave's accessibility expert provides both audit and staff training on key accessibility items. When new legislation or standards are rolled out, Weave's accessibility expert will ensure that Weave stays compliant.</t>
  </si>
  <si>
    <t>ITAC-06</t>
  </si>
  <si>
    <t>All items are tracked in our support ticketing system and in our agile development software. Weave's accessibility expert also has an accessibility roadmap.</t>
  </si>
  <si>
    <t>ITAC-07</t>
  </si>
  <si>
    <t>When an issue is noticed, it is added to the product roadmap and then implemented in Weave's regular agile development lifecycle.</t>
  </si>
  <si>
    <t>ITAC-08</t>
  </si>
  <si>
    <t xml:space="preserve">All essential functions can be performed using only the keyboard. </t>
  </si>
  <si>
    <t>ITAC-09</t>
  </si>
  <si>
    <t>There is no separate accessibility mode.</t>
  </si>
  <si>
    <t>THRD-01</t>
  </si>
  <si>
    <t>Any third party undergoes a security review of their practices and security posture based on internally-determined criteria. A risk-based decision is made based on that security review and business needs.</t>
  </si>
  <si>
    <t>THRD-02</t>
  </si>
  <si>
    <t>AWS: IaaS/hosting, Mongo Db: IaaS/hosting, Constant Contact: API connection for Weave Member Directory, Nailor: API connection for Member directory</t>
  </si>
  <si>
    <t>THRD-03</t>
  </si>
  <si>
    <t>Weave has an Interconnection Security Agreement with third-parties who process institution data.</t>
  </si>
  <si>
    <t>THRD-04</t>
  </si>
  <si>
    <t>Weave has a software supply chain management procedure, where thrid party software, hardware, and firmware are continually inventoried, reviewed, and updated. If a user requests a new third party integration, the security team conducts a security/risk review and makes a recommendation to the Weave Change Management team.</t>
  </si>
  <si>
    <t>THRD-05</t>
  </si>
  <si>
    <t>Compliant with United States. Weave has a hardware supply chain process that includes continual scanning, review, and update of its inventory.</t>
  </si>
  <si>
    <t>CONS-01</t>
  </si>
  <si>
    <t>n/a</t>
  </si>
  <si>
    <t>CONS-02</t>
  </si>
  <si>
    <t>CONS-03</t>
  </si>
  <si>
    <t>CONS-04</t>
  </si>
  <si>
    <t>CONS-05</t>
  </si>
  <si>
    <t>CONS-06</t>
  </si>
  <si>
    <t>CONS-07</t>
  </si>
  <si>
    <t>CONS-08</t>
  </si>
  <si>
    <t>CONS-09</t>
  </si>
  <si>
    <t>Application/Service Security</t>
  </si>
  <si>
    <t>APPL-01</t>
  </si>
  <si>
    <t>Weave suppports Single Sign On via SAML, LDAP, Shibboleth, and OAuth for end-users. Role-Based Access Control is based on internal policies and procedures.</t>
  </si>
  <si>
    <t>APPL-02</t>
  </si>
  <si>
    <t>Weave uses AWS IAM for system admin access control. All access control policies are role-based and tracked on the Access Control Matrix.</t>
  </si>
  <si>
    <t>APPL-03</t>
  </si>
  <si>
    <t>All data inputs are validated against system rules and if an error is found, the user is presented with an error message explaining how to remediate the error.</t>
  </si>
  <si>
    <t>APPL-04</t>
  </si>
  <si>
    <t>Weave uses AWS Web Application Firewall (WAF)</t>
  </si>
  <si>
    <t>APPL-05</t>
  </si>
  <si>
    <t xml:space="preserve">Weave's software supply chain is documented internally and any new third-party software undergoes a security/risk review prior to use. </t>
  </si>
  <si>
    <t>APPL-06</t>
  </si>
  <si>
    <t>Weave supports only all current operating systems</t>
  </si>
  <si>
    <t>APPL-07</t>
  </si>
  <si>
    <t>N/A</t>
  </si>
  <si>
    <t>APPL-08</t>
  </si>
  <si>
    <t>none</t>
  </si>
  <si>
    <t>APPL-09</t>
  </si>
  <si>
    <t>The Weave platofrm is role-based, and as such segregates functions based on user role. Weave also has an internal Separation of Duties matrix which details which user roles are allowed which privileges.</t>
  </si>
  <si>
    <t>APPL-10</t>
  </si>
  <si>
    <t>As part of its Access Control policy and procedure, Weave also maintains an Access Request list, where employees need to have authorization by the System Owner to obtain administrator access. Weave relies on the principle of least privilege.</t>
  </si>
  <si>
    <t>APPL-11</t>
  </si>
  <si>
    <t>Weave's developers have been trained in secure coding techniques, including input validation, access control, data minimization, and cryptographic practices.</t>
  </si>
  <si>
    <t>APPL-12</t>
  </si>
  <si>
    <t>Weave's application was developed using secure coding techniques such as least privilege, access control, audit logs, input validation, and more.</t>
  </si>
  <si>
    <t>APPL-13</t>
  </si>
  <si>
    <t>Weave conducts static code analysis prior to release, as well as bug testing and regression testing.</t>
  </si>
  <si>
    <t>APPL-14</t>
  </si>
  <si>
    <t>Authentication, Authorization, and Accounting</t>
  </si>
  <si>
    <t>AAAI-01</t>
  </si>
  <si>
    <t>1) Yes</t>
  </si>
  <si>
    <t>Strong authentication is enforced by password requirements, aging requirements, MFA, and re-use policy. Weave also supports single sign-on protocols for user and administrator authentication.</t>
  </si>
  <si>
    <t>AAAI-02</t>
  </si>
  <si>
    <t>3) Both modes available</t>
  </si>
  <si>
    <t>Weave supports administrator authentication as well as LDAP, SAML2, and Shibboleth.</t>
  </si>
  <si>
    <t>AAAI-03</t>
  </si>
  <si>
    <t>Passwords age out at 180 days</t>
  </si>
  <si>
    <t>AAAI-04</t>
  </si>
  <si>
    <t xml:space="preserve">Weave has set password comlexity requirements based on NIST SP 800-3 standards. All passwords must have at least: 
Twelve characters 
One number 
One upper-case character 
One lower-case character 
One special character </t>
  </si>
  <si>
    <t>AAAI-05</t>
  </si>
  <si>
    <t xml:space="preserve">If you have too many failed password attempts during login, your account will be locked for 15 minutes. You will need to wait and try again after the time is over. Please remember you can reset your password using the Forgot Password link if needed. 
You can’t use commonly guessed/exploited passwords. The Weave system maintains an ongoing list of these passwords. You will receive a warning/error if you attempt to use one of these passwords.  
You can't reuse a password that you have used in the last 30 days.  
If your current password does not meet the new requirements, you will need to change it. </t>
  </si>
  <si>
    <t>AAAI-06</t>
  </si>
  <si>
    <t>People can reset their own passwords via self-service.</t>
  </si>
  <si>
    <t>AAAI-07</t>
  </si>
  <si>
    <t>AAAI-08</t>
  </si>
  <si>
    <t>Active Directory, LDAP, SAML2, Shibboleth</t>
  </si>
  <si>
    <t>AAAI-09</t>
  </si>
  <si>
    <t>SAML2, CAS, OIDC</t>
  </si>
  <si>
    <t>AAAI-10</t>
  </si>
  <si>
    <t>Weave uses the ePPN as the main identifier</t>
  </si>
  <si>
    <t>AAAI-11</t>
  </si>
  <si>
    <t>AAAI-12</t>
  </si>
  <si>
    <t>AAAI-13</t>
  </si>
  <si>
    <t>60 minutes of inactivity will terminate the session</t>
  </si>
  <si>
    <t>AAAI-14</t>
  </si>
  <si>
    <t>AAAI-15</t>
  </si>
  <si>
    <t>AAAI-16</t>
  </si>
  <si>
    <t>Active Directory, LDAP, SAML2</t>
  </si>
  <si>
    <t>AAAI-17</t>
  </si>
  <si>
    <t>AAAI-18</t>
  </si>
  <si>
    <t xml:space="preserve">Weave Education must ensure the Weave Platform has the capability to audit the following events:  
Successful and unsuccessful account logon events 
Account management events 
Object access  
Policy changes 
Privilege functions 
Process tracking  
System events 
All Weave Platform web applications must be capable of auditing the following events: 
Administrator activity 
Authentication checks 
Authorization checks 
Data deletions 
Data access 
Data changes 
Permission changes 
Continually Audited Events 
Weave Education selected the following subset of audit events to be audited continually for the Weave Platform: 
Successful and unsuccessful account logon events 
Account management events 
Object access  
Policy changes 
Privilege functions 
System events 
Weave Education selected the following subset of audit events to be audited continually for the web application portion of the Weave Platform: 
Administrator activity   
Authentication checks 
Authorization checks 
Data deletions 
Permission changes </t>
  </si>
  <si>
    <t>AAAI-19</t>
  </si>
  <si>
    <t xml:space="preserve">The System Administrators configured Amazon CloudWatch / Amazon CloudWatch Logs to maintain audit records for a minimum of ninety (90) days as required by the Audit and Accountability Policy. By configuration access to the following services using AWS Identify and Access Management, Weave Education prevents unauthorized access, modification, and deletion of audit log records. The Access Administrators grant administrative access for audit services to the System Administrators only. They grant read access to the Security Manager.  </t>
  </si>
  <si>
    <t>BCPL-01</t>
  </si>
  <si>
    <t>The Weave System Owner and Security Manager are responsible for the maintenance and review of the Business Continuity Plan</t>
  </si>
  <si>
    <t>BCPL-02</t>
  </si>
  <si>
    <t xml:space="preserve">Weave Education may become aware of an outage or disruption from its staff or from customers. Customers generally report issues to the Helpdesk via a Zendesk ticket or a phone call. The Helpdesk forwards any reports of outage or disruption to the System Administrators who begin to assess the situation. The Helpdesk takes the lead on providing status updates to the initial customer. If any Contingency Plan Team member identifies an activity or issue that requires escalation to get prompt action, the Contingency Plan Team member escalates directly to both the Contingency Plan Manager and the Contingency Plan Director.  </t>
  </si>
  <si>
    <t>BCPL-03</t>
  </si>
  <si>
    <t xml:space="preserve">Based on potential widespread impact to customers during a Weave Platform outage or disruption, the Contingency Plan Director determines the best approach for communicating status awareness to customers and users.  Weave Education may use a combination of the following notification methods: 
The Helpdesk responds to individual customers based on tickets opened by those customers. 
The Member Success Team proactively communicates with all potentially impacted customers via email or phone. 
The Weave Education marketing website (www.weaveeducation.com) is updated to provide a status update to customers. </t>
  </si>
  <si>
    <t>BCPL-04</t>
  </si>
  <si>
    <t>The contingency plan is reviewed annually by both the security manager and the system owner, and updated to include any system changes.</t>
  </si>
  <si>
    <t>BCPL-05</t>
  </si>
  <si>
    <t xml:space="preserve">​​Weave Education​ established multiple roles and responsibilities for responding to outages, disruptions, and disasters for the ​Weave Platform​. Individuals assigned roles for recovery operations collectively make up the Contingency Plan Team and are trained annually in their duties. Contingency Plan Team members are chosen based on their skills and knowledge. 
The Contingency Plan Team consists of personnel selected to perform the roles and responsibilities described in the sections that follow. All team leads are considered key personnel. </t>
  </si>
  <si>
    <t>BCPL-06</t>
  </si>
  <si>
    <t>Training and awareness campaigns occur at least annually for all employees</t>
  </si>
  <si>
    <t>BCPL-07</t>
  </si>
  <si>
    <t>As AWS is Weave's IaaS provider, Weave can easily move to an alternate avialability zone.</t>
  </si>
  <si>
    <t>BCPL-08</t>
  </si>
  <si>
    <t>As part of its annual testing, Weave conducts tabletop testing of moving to an alternate AWS availability zone.</t>
  </si>
  <si>
    <t>BCPL-09</t>
  </si>
  <si>
    <t>The Weave platform is Weave's only priority for business continuity planning.</t>
  </si>
  <si>
    <t>BCPL-10</t>
  </si>
  <si>
    <t>Weave Education utilizes DNSSEC with redundant DNS, and backps and multiple available zones in AWS.</t>
  </si>
  <si>
    <t>Change Management</t>
  </si>
  <si>
    <t>CHNG-01</t>
  </si>
  <si>
    <t xml:space="preserve">Weave Education maintains a Change Control team that meets weekly in sprint kick-off meetings and daily for scrums. As part of the Change Control team, the Security Manager provides a Security Review for each release and a quarterly audit of release tickets. All system changes are tested and validated on the staging environment before releasing to production. </t>
  </si>
  <si>
    <t>CHNG-02</t>
  </si>
  <si>
    <t>Weave's change management process requires that all third-party libraries and dependencies are still supposed before any major platofrm change is released to production.</t>
  </si>
  <si>
    <t>CHNG-03</t>
  </si>
  <si>
    <t>Any major change to the Weave platform that afftects its security posture will be reported to institutions and to TX-RAMP.</t>
  </si>
  <si>
    <t>CHNG-04</t>
  </si>
  <si>
    <t>Weave has only one production environment and upgrades are performed for all customers.</t>
  </si>
  <si>
    <t>CHNG-05</t>
  </si>
  <si>
    <t>Weave only supports the most current version of Weave.</t>
  </si>
  <si>
    <t>CHNG-06</t>
  </si>
  <si>
    <t>Client customizations are kept and supported from one release to another.</t>
  </si>
  <si>
    <t>CHNG-07</t>
  </si>
  <si>
    <t>Weave maintains an agile sprint and releases iterative updates once per week.</t>
  </si>
  <si>
    <t>CHNG-08</t>
  </si>
  <si>
    <t>The product roadmap is available upon request.</t>
  </si>
  <si>
    <t>CHNG-09</t>
  </si>
  <si>
    <t>While institutional involvement is not usually reuiqed during product updates, occasionally instutitons wil be brought in as beta testers or for feedback on future updates.</t>
  </si>
  <si>
    <t>CHNG-10</t>
  </si>
  <si>
    <t xml:space="preserve">Weave Education defines the following types of changes as configuration controlled (See Change Control Process) for the platform.  
Adding new components (software or services)   
Modifying configuration settings to existing components   
Applying patches / fixes to components (software or services)  
Adding hardware components to the Weave Platform  
Defining new roles and/or permissions to manage and support the system from AWS  
Adding or updating application code  </t>
  </si>
  <si>
    <t>CHNG-11</t>
  </si>
  <si>
    <t>Weave security manager conducts a weekly vulnerability scan and report. A list of security patches are assessed for risk and priroitized based on risk factor.</t>
  </si>
  <si>
    <t>CHNG-12</t>
  </si>
  <si>
    <t>All updates are completed in a manner that will impact customers the least.</t>
  </si>
  <si>
    <t>CHNG-13</t>
  </si>
  <si>
    <t>Any emergency changes go through Weave's regular change management process which includes full documentation, the sprint cycle, and a security review.</t>
  </si>
  <si>
    <t>CHNG-14</t>
  </si>
  <si>
    <t>Weave has a full change and configuration management policy and procedure.</t>
  </si>
  <si>
    <t>CHNG-15</t>
  </si>
  <si>
    <t>Weave Education has a Configuration Management policy and procedure, as well as a Change Management process. These encompass all system management events and configuration strategy.</t>
  </si>
  <si>
    <t>Data</t>
  </si>
  <si>
    <t>DATA-01</t>
  </si>
  <si>
    <t>Weave is based in AWS multi-tenant IaaS that is logically separated.</t>
  </si>
  <si>
    <t>DATA-02</t>
  </si>
  <si>
    <t>DATA-03</t>
  </si>
  <si>
    <t xml:space="preserve">Weave Education logically protects the confidentiality and integrity of transmitted information by employing TLS 1.3 encryption techniques. </t>
  </si>
  <si>
    <t>DATA-04</t>
  </si>
  <si>
    <t xml:space="preserve">Weave Education employs AWS services using AWS managed keys which are stored in AWS KMS. 
Weave Education does not permit storage of unencrypted keys related to the Weave Platform. Encryption keys related to the Weave Platform may not be stored in any service outside of the Weave Platform components.   
AWS Key Management Service is used when there is a requirement to store encryption keys.    
AWS Secrets Manager is used when there is a requirement to store secrets.  </t>
  </si>
  <si>
    <t>DATA-05</t>
  </si>
  <si>
    <t>AWS Key Management Service</t>
  </si>
  <si>
    <t>DATA-06</t>
  </si>
  <si>
    <t>Institutions have 30 days from the date of non-renewal to download their data before it is permanently deleted from the Weave servers.</t>
  </si>
  <si>
    <t>DATA-07</t>
  </si>
  <si>
    <t>DATA-08</t>
  </si>
  <si>
    <t>Institutions can download their full data at any time to retain as their own backups.</t>
  </si>
  <si>
    <t>DATA-09</t>
  </si>
  <si>
    <t>Institutions retain rights to all data and can ask it to be deleted at any time.</t>
  </si>
  <si>
    <t>DATA-10</t>
  </si>
  <si>
    <t>DATA-11</t>
  </si>
  <si>
    <t>Upon imminent bankruptcy, closing of business, or retirement of service, Weave Education will give customers 90 days for customers to download their data.</t>
  </si>
  <si>
    <t>DATA-12</t>
  </si>
  <si>
    <t>Weave uses AWS Backup service to securely and routinely make and store backups.</t>
  </si>
  <si>
    <t>DATA-13</t>
  </si>
  <si>
    <t>Weave Education utilizes AWS Backup and ensures that everything necessary for a full recovery is included. Weave compiles weekly full backups and daily incrementals.</t>
  </si>
  <si>
    <t>DATA-14</t>
  </si>
  <si>
    <t>AWS Backup utilized multiple availability zones</t>
  </si>
  <si>
    <t>DATA-15</t>
  </si>
  <si>
    <t>Weave Education does not store any physical backups. They are all in AWS.</t>
  </si>
  <si>
    <t>DATA-16</t>
  </si>
  <si>
    <t>No, but if the backups need to be moved to a new AWS availability zone, they will.</t>
  </si>
  <si>
    <t>DATA-17</t>
  </si>
  <si>
    <t>AWS Backup encrypts its backups</t>
  </si>
  <si>
    <t>DATA-18</t>
  </si>
  <si>
    <t xml:space="preserve">The AWS services Weave uses provide encryption of data using AWS managed keys. These AWS managed keys are AWS Key Management Service (AWS KMS) keys created, managed, and used by the AWS services within Weave Education’s AWS account, and those services integrate with AWS KMS. </t>
  </si>
  <si>
    <t>DATA-19</t>
  </si>
  <si>
    <t>Weave inherits media handling processes from AWS</t>
  </si>
  <si>
    <t>DATA-20</t>
  </si>
  <si>
    <t>DATA-21</t>
  </si>
  <si>
    <t>Weave inherits media storage processes from AWS</t>
  </si>
  <si>
    <t>DATA-22</t>
  </si>
  <si>
    <t>FERPA compliance is integrated in Weave's privacy policy and procedures as noted in Weave's Privacy Policy: https://weaveeducation.com/wp-content/uploads/Weave-Privacy-Policy.pdf</t>
  </si>
  <si>
    <t>DATA-23</t>
  </si>
  <si>
    <t>Weave practices the principle of least privilege and only some essential staff have access to whatever data institutions upload. There is no financial or PHI in the Weave platform.</t>
  </si>
  <si>
    <t>DATA-24</t>
  </si>
  <si>
    <t>Weave staff lock screens, are required to use biometrics, and always use a secure VPN.</t>
  </si>
  <si>
    <t>Datacenter</t>
  </si>
  <si>
    <t>DCTR-01</t>
  </si>
  <si>
    <t>DCTR-02</t>
  </si>
  <si>
    <t>Weave utilizes AWS East/Virginia availability zone regardless of where the institution is located.</t>
  </si>
  <si>
    <t>DCTR-03</t>
  </si>
  <si>
    <t>DCTR-04</t>
  </si>
  <si>
    <t>DCTR-05</t>
  </si>
  <si>
    <t>DCTR-06</t>
  </si>
  <si>
    <t>Weave uses AWS with a separate availability zone for backups</t>
  </si>
  <si>
    <t>DCTR-07</t>
  </si>
  <si>
    <t>Weave inherits from AWS</t>
  </si>
  <si>
    <t>DCTR-08</t>
  </si>
  <si>
    <t>DCTR-09</t>
  </si>
  <si>
    <t>Weave uses AWS with multiple availability zones</t>
  </si>
  <si>
    <t>DCTR-10</t>
  </si>
  <si>
    <t>DCTR-11</t>
  </si>
  <si>
    <t>DCTR-12</t>
  </si>
  <si>
    <t>DCTR-13</t>
  </si>
  <si>
    <t>DCTR-14</t>
  </si>
  <si>
    <t>DCTR-15</t>
  </si>
  <si>
    <t xml:space="preserve">Weave requires multi-factor authentication for both staff and users. For AWS administrators, Weave requires either an authentication app or a One-Time text-message passcode to an approved phone number. For regular users, Weave uses a One-Time Passcode emailed to the email address on file. </t>
  </si>
  <si>
    <t>DCTR-16</t>
  </si>
  <si>
    <t>DCTR-17</t>
  </si>
  <si>
    <t>Weave uses AWS Key Management System</t>
  </si>
  <si>
    <t>DRPL-01</t>
  </si>
  <si>
    <t>Weave has both a disaster recovery plan and a Business Continuity Plan and are available upon request.</t>
  </si>
  <si>
    <t>DRPL-02</t>
  </si>
  <si>
    <t>The security manager is responsible for the maintenance and review of the DRP in collaboration with the System Owner.</t>
  </si>
  <si>
    <t>DRPL-03</t>
  </si>
  <si>
    <t>Upon request</t>
  </si>
  <si>
    <t>DRPL-04</t>
  </si>
  <si>
    <t>DRPL-05</t>
  </si>
  <si>
    <t>DRPL-06</t>
  </si>
  <si>
    <t>Weave conducts annual tabletop testing for backups in a new availability zone.</t>
  </si>
  <si>
    <t>DRPL-07</t>
  </si>
  <si>
    <t xml:space="preserve">If any Contingency Plan Team member identifies an activity or issue that requires escalation to get prompt action, the Contingency Plan Team member escalates directly to both the Contingency Plan Manager and the Contingency Plan Director. </t>
  </si>
  <si>
    <t>DRPL-08</t>
  </si>
  <si>
    <t>DRPL-09</t>
  </si>
  <si>
    <t>Weave's disaster recovery plan and contingency plans are tested annualy via tabletop exercise.</t>
  </si>
  <si>
    <t>DRPL-10</t>
  </si>
  <si>
    <t>Estimated recovery time is 8 hours</t>
  </si>
  <si>
    <t>DRPL-11</t>
  </si>
  <si>
    <t>Firewalls, IDS, IPS, and Networking</t>
  </si>
  <si>
    <t>FIDP-01</t>
  </si>
  <si>
    <t>Weave utilizes AWS Web Application Firewall</t>
  </si>
  <si>
    <t>FIDP-02</t>
  </si>
  <si>
    <t>Security Manager and System Administrator approval are required for any firewall changes.</t>
  </si>
  <si>
    <t>FIDP-03</t>
  </si>
  <si>
    <t>Weave's configuration management plan includes full approval for any changes including a security review prior to release.</t>
  </si>
  <si>
    <t>FIDP-04</t>
  </si>
  <si>
    <t>Weave uses AWS Guard Duty as an IDS</t>
  </si>
  <si>
    <t>FIDP-05</t>
  </si>
  <si>
    <t>Weave uses Windows Defender as an IPS</t>
  </si>
  <si>
    <t>FIDP-06</t>
  </si>
  <si>
    <t>FIDP-07</t>
  </si>
  <si>
    <t>FIDP-08</t>
  </si>
  <si>
    <t>Weave conducts continual monitoring and NGPT vulnerability scanning with AWS Inspector.</t>
  </si>
  <si>
    <t>FIDP-09</t>
  </si>
  <si>
    <t xml:space="preserve">Weave uses continual scanning systems from AWS with immediate email alerts for anomalous behavior and supplements that with manual monitoring on a weekly basis. </t>
  </si>
  <si>
    <t>FIDP-10</t>
  </si>
  <si>
    <t>Intrusion monitoring is performed both by AWS services and internally by the Weave security manager.</t>
  </si>
  <si>
    <t>FIDP-11</t>
  </si>
  <si>
    <t>Weave saves all audit logs in AWS cloudwatch</t>
  </si>
  <si>
    <t>Policies, Procedures, and Processes</t>
  </si>
  <si>
    <t>PPPR-01</t>
  </si>
  <si>
    <t>The Security team is led by the Director of Security &amp; Compliance and includes a cross-functional team from the CEO and HR/Business Analyst to System Adminstrators.</t>
  </si>
  <si>
    <t>PPPR-02</t>
  </si>
  <si>
    <t>As part of its continuous monitoring plan, Weave deploys patches monthly and it's verifies by the Security manager.</t>
  </si>
  <si>
    <t>PPPR-03</t>
  </si>
  <si>
    <t>PPPR-04</t>
  </si>
  <si>
    <t>DevSecOps includes security as a regular process of the agile development workflow. The Security Manager is involved in every sprint kick off and conducts a security review on each ticket before anything is pushed to production.</t>
  </si>
  <si>
    <t>PPPR-05</t>
  </si>
  <si>
    <t>PPPR-06</t>
  </si>
  <si>
    <t>Institutions will be notified within 24 hours or in compliance with their state laws.</t>
  </si>
  <si>
    <t>PPPR-07</t>
  </si>
  <si>
    <t>Upon onboarding, Weave's support team works with the institution's IT team to ensure that all policies are complied with.</t>
  </si>
  <si>
    <t>PPPR-08</t>
  </si>
  <si>
    <t>Weave complies with instuttional laws and regulations</t>
  </si>
  <si>
    <t>PPPR-09</t>
  </si>
  <si>
    <t>Weave's personnel management procedure includes background checks prior to first day of work.</t>
  </si>
  <si>
    <t>PPPR-10</t>
  </si>
  <si>
    <t>Weave new employees undergo training including policies and sign agreements.</t>
  </si>
  <si>
    <t>PPPR-11</t>
  </si>
  <si>
    <t>Weave has an nformation security policy</t>
  </si>
  <si>
    <t>PPPR-12</t>
  </si>
  <si>
    <t>Weave staff undergo annual security awareness training and the security manager consistently sends out security awareness notices and reminders.</t>
  </si>
  <si>
    <t>PPPR-13</t>
  </si>
  <si>
    <t>Weave staff undergo annual security awareness training</t>
  </si>
  <si>
    <t>PPPR-14</t>
  </si>
  <si>
    <t>Weave mantains an access control list detailing staff access and level of privilege.</t>
  </si>
  <si>
    <t>PPPR-15</t>
  </si>
  <si>
    <t xml:space="preserve">Weave has an audit policy and procedure </t>
  </si>
  <si>
    <t>PPPR-16</t>
  </si>
  <si>
    <t>Incident Handling</t>
  </si>
  <si>
    <t>HFIH-01</t>
  </si>
  <si>
    <t>Weave has a formal incident response plan. This plan designates an Incident Response Team who coordinates all actions regarding any incident. This plan is tested via a tabletop exercise annually.</t>
  </si>
  <si>
    <t>HFIH-02</t>
  </si>
  <si>
    <t>HFIH-03</t>
  </si>
  <si>
    <t>Automated scans continuously monitor for threates and intrusions, while alarms are pushed to the Security team.</t>
  </si>
  <si>
    <t>HFIH-04</t>
  </si>
  <si>
    <t>Weave carries cyberinsurance.</t>
  </si>
  <si>
    <t>Quality Assurance</t>
  </si>
  <si>
    <t>QLAS-01</t>
  </si>
  <si>
    <t>As part of its configuration management plan, Weave conducts quality testing prior to any release.</t>
  </si>
  <si>
    <t>QLAS-02</t>
  </si>
  <si>
    <t>Weave partially inherits from AWS, but is not working toward certiifcation at this time.</t>
  </si>
  <si>
    <t>QLAS-03</t>
  </si>
  <si>
    <t xml:space="preserve">As part of its contract, Weave provides a Service-Level Agreement of uptime. </t>
  </si>
  <si>
    <t>QLAS-04</t>
  </si>
  <si>
    <t>Weave consistently takes in customer feedback and incorporates them into new features. Any feedback can be provided at any time in the platform or via a support request.</t>
  </si>
  <si>
    <t>QLAS-05</t>
  </si>
  <si>
    <t>Upon request, an institution can access a demo account.</t>
  </si>
  <si>
    <t>Vulnerability Scanning</t>
  </si>
  <si>
    <t>VULN-01</t>
  </si>
  <si>
    <t>Weave uses AWS Inspector to continuously scan for vulnerabilites to remediate.</t>
  </si>
  <si>
    <t>VULN-02</t>
  </si>
  <si>
    <t>Weave will have a penetration test completed in Q4 of 2025</t>
  </si>
  <si>
    <t>VULN-03</t>
  </si>
  <si>
    <t>AWS Inspector scans Weave's staging server as well as it's production server, so items are remediated prior to release to production.</t>
  </si>
  <si>
    <t>VULN-04</t>
  </si>
  <si>
    <t>Weave will provide results of application and system vulnerability scans to TX-RAMP as part of its quarterly submission. Texas customers can request access via the TX-RAMP portal.</t>
  </si>
  <si>
    <t>VULN-05</t>
  </si>
  <si>
    <t>AWS inspector monitors for common web application security vulnerabilities such as SQL injection, XSS, XSRF, and more. Critical and High vulnerabilities are remediated within 30 days, medium and low vulnerabilites are remediated within 180 days.</t>
  </si>
  <si>
    <t>VULN-06</t>
  </si>
  <si>
    <t>Weave will provide scans and data upon request</t>
  </si>
  <si>
    <t>HIPA-01</t>
  </si>
  <si>
    <t>Refer to HIPAA regulations documentation for supplemental guidance in this section.</t>
  </si>
  <si>
    <t>HIPA-02</t>
  </si>
  <si>
    <t>HIPA-03</t>
  </si>
  <si>
    <t>HIPA-04</t>
  </si>
  <si>
    <t>HIPA-05</t>
  </si>
  <si>
    <t>HIPA-06</t>
  </si>
  <si>
    <t>HIPA-07</t>
  </si>
  <si>
    <t>HIPA-08</t>
  </si>
  <si>
    <t>HIPA-09</t>
  </si>
  <si>
    <t>HIPA-10</t>
  </si>
  <si>
    <t>HIPA-11</t>
  </si>
  <si>
    <t>HIPA-12</t>
  </si>
  <si>
    <t>HIPA-13</t>
  </si>
  <si>
    <t>HIPA-14</t>
  </si>
  <si>
    <t>HIPA-15</t>
  </si>
  <si>
    <t>HIPA-16</t>
  </si>
  <si>
    <t>HIPA-17</t>
  </si>
  <si>
    <t>HIPA-18</t>
  </si>
  <si>
    <t>HIPA-19</t>
  </si>
  <si>
    <t>HIPA-20</t>
  </si>
  <si>
    <t>HIPA-21</t>
  </si>
  <si>
    <t>HIPA-22</t>
  </si>
  <si>
    <t>HIPA-23</t>
  </si>
  <si>
    <t>HIPA-24</t>
  </si>
  <si>
    <t>HIPA-25</t>
  </si>
  <si>
    <t>HIPA-26</t>
  </si>
  <si>
    <t>HIPA-27</t>
  </si>
  <si>
    <t>HIPA-28</t>
  </si>
  <si>
    <t>HIPA-29</t>
  </si>
  <si>
    <t>PCID-01</t>
  </si>
  <si>
    <t>PCID-02</t>
  </si>
  <si>
    <t>PCID-03</t>
  </si>
  <si>
    <t>PCID-04</t>
  </si>
  <si>
    <t>PCID-05</t>
  </si>
  <si>
    <t>PCID-06</t>
  </si>
  <si>
    <t>PCID-07</t>
  </si>
  <si>
    <t>PCID-08</t>
  </si>
  <si>
    <t>PCID-09</t>
  </si>
  <si>
    <t>PCID-10</t>
  </si>
  <si>
    <t>PCID-11</t>
  </si>
  <si>
    <t>PCID-12</t>
  </si>
  <si>
    <t xml:space="preserve">There are cells within this worksheet are auto populated from the HECVAT - Full | Vendor Response worksheet and drop down lists. </t>
  </si>
  <si>
    <t>HECVAT - Full | Analyst Report</t>
  </si>
  <si>
    <t>Institution Assessment</t>
  </si>
  <si>
    <r>
      <rPr>
        <b/>
        <sz val="12"/>
        <color theme="1"/>
        <rFont val="Verdana"/>
        <family val="2"/>
      </rPr>
      <t xml:space="preserve">Step 1: </t>
    </r>
    <r>
      <rPr>
        <sz val="12"/>
        <color theme="1"/>
        <rFont val="Verdana"/>
        <family val="2"/>
      </rPr>
      <t xml:space="preserve">Select the security framework used at your institution in cell C10. </t>
    </r>
    <r>
      <rPr>
        <b/>
        <sz val="12"/>
        <color theme="1"/>
        <rFont val="Verdana"/>
        <family val="2"/>
      </rPr>
      <t xml:space="preserve">Step 2: </t>
    </r>
    <r>
      <rPr>
        <sz val="12"/>
        <color theme="1"/>
        <rFont val="Verdana"/>
        <family val="2"/>
      </rPr>
      <t xml:space="preserve">Convert qualitative vendor responses into quantitative values, starting at cell G38.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</si>
  <si>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Vendor Name</t>
  </si>
  <si>
    <t>Product Name</t>
  </si>
  <si>
    <t>Vendor Contact Name</t>
  </si>
  <si>
    <t>Product Description</t>
  </si>
  <si>
    <t>Vendor Contact Title</t>
  </si>
  <si>
    <t>HECVAT Version</t>
  </si>
  <si>
    <t>Full</t>
  </si>
  <si>
    <t>Vendor Email Address</t>
  </si>
  <si>
    <t>Date Prepared</t>
  </si>
  <si>
    <t>Step 1: Select your institution's security framework</t>
  </si>
  <si>
    <t>Report Sections</t>
  </si>
  <si>
    <t>Max_Score</t>
  </si>
  <si>
    <t>Score</t>
  </si>
  <si>
    <t>Score %</t>
  </si>
  <si>
    <t>Overall Score</t>
  </si>
  <si>
    <t>Step 2: Override/Correct Vendor Responses and Set Weights Per Institution's Use Case</t>
  </si>
  <si>
    <t>ID</t>
  </si>
  <si>
    <t>Question</t>
  </si>
  <si>
    <t>Vendor Answer</t>
  </si>
  <si>
    <t>(Will show in Col F on HECVAT tab)</t>
  </si>
  <si>
    <t>Preferred Response</t>
  </si>
  <si>
    <t>Compliant Override</t>
  </si>
  <si>
    <t>Default Weight</t>
  </si>
  <si>
    <t>Weight Override</t>
  </si>
  <si>
    <t>Qualitative Question</t>
  </si>
  <si>
    <t xml:space="preserve">  </t>
  </si>
  <si>
    <t xml:space="preserve">The cells within this worksheet contain questions, the reason for the question and follow-up inquiries/responses </t>
  </si>
  <si>
    <t>HECVAT - Full | Analyst Reference</t>
  </si>
  <si>
    <r>
      <t>Connect</t>
    </r>
    <r>
      <rPr>
        <sz val="14"/>
        <color theme="1"/>
        <rFont val="Verdana"/>
        <family val="2"/>
      </rPr>
      <t xml:space="preserve"> with your higher education peers by joining the </t>
    </r>
    <r>
      <rPr>
        <b/>
        <sz val="14"/>
        <color theme="1"/>
        <rFont val="Verdana"/>
        <family val="2"/>
      </rPr>
      <t>EDUCAUSE HECVAT Users Community Group</t>
    </r>
    <r>
      <rPr>
        <sz val="14"/>
        <color theme="1"/>
        <rFont val="Verdana"/>
        <family val="2"/>
      </rPr>
      <t xml:space="preserve"> at https://connect.educause.edu.</t>
    </r>
  </si>
  <si>
    <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2"/>
        <color theme="1"/>
        <rFont val="Verdana"/>
        <family val="2"/>
      </rPr>
      <t>Analyst tip #1:</t>
    </r>
    <r>
      <rPr>
        <sz val="12"/>
        <color theme="1"/>
        <rFont val="Verdana"/>
        <family val="2"/>
      </rPr>
      <t xml:space="preserve"> For any answer that is deemed "noncompliant" by your institution, ask the vendor if there is a timeline for implementation, a sincere commitment to customer development engagement, and/or possible implementation of compensating control(s) that offset the risks of another component.
</t>
    </r>
    <r>
      <rPr>
        <b/>
        <sz val="12"/>
        <color theme="1"/>
        <rFont val="Verdana"/>
        <family val="2"/>
      </rPr>
      <t>Analyst tip #2:</t>
    </r>
    <r>
      <rPr>
        <sz val="12"/>
        <color theme="1"/>
        <rFont val="Verdana"/>
        <family val="2"/>
      </rPr>
      <t xml:space="preserve"> If a vendor's response to a follow-up inquiry is vague or seems off-point or dismissive, respond to the vendor contact with clear expectations for a response. Responses that fail to meet expectations thereafter should be negatively assessed based on your institution's risk tolerance and the criticality of the data involved.
</t>
    </r>
    <r>
      <rPr>
        <b/>
        <sz val="12"/>
        <color theme="1"/>
        <rFont val="Verdana"/>
        <family val="2"/>
      </rPr>
      <t>Analyst tip #3:</t>
    </r>
    <r>
      <rPr>
        <sz val="12"/>
        <color theme="1"/>
        <rFont val="Verdana"/>
        <family val="2"/>
      </rPr>
      <t xml:space="preserve"> This is the most important tip. Reject a HECVAT from a vendor if the vendor provides the institution with a insufficiently populated HECVAT; if the vendor responses are vague and/or do not answer questions directly; or if significant discrepancies are found, making the HECVAT difficult to assess. </t>
    </r>
  </si>
  <si>
    <t>Reason for Question</t>
  </si>
  <si>
    <t>Follow-up Inquiries/Responses</t>
  </si>
  <si>
    <t xml:space="preserve">Qualifier responses are meant to set the response requirements for a vendor and the intended use case. Since responses to these questions can make some question sections optional, vendors often answer sections partially, if they have the proper documentation. Depending on the security program maturity and risk tolerance of your institution, not all vendor responses will be relevant. </t>
  </si>
  <si>
    <t xml:space="preserve">End of worksheet. </t>
  </si>
  <si>
    <t xml:space="preserve">This worksheet contains cells that are autopopulated from data entered in previous worksheets. </t>
  </si>
  <si>
    <t>HECVAT - Full - Summary Report</t>
  </si>
  <si>
    <t>Vendor</t>
  </si>
  <si>
    <t>Description</t>
  </si>
  <si>
    <t>Noncompliant Responses</t>
  </si>
  <si>
    <t>Institution's Security Framework</t>
  </si>
  <si>
    <t>End of worksheet</t>
  </si>
  <si>
    <t>5.1.1</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</si>
  <si>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</si>
  <si>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</si>
  <si>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</si>
  <si>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</si>
  <si>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</si>
  <si>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</si>
  <si>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</si>
  <si>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</si>
  <si>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</si>
  <si>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</si>
  <si>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</si>
  <si>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</si>
  <si>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</si>
  <si>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</si>
  <si>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</si>
  <si>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</si>
  <si>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</si>
  <si>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</si>
  <si>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</si>
  <si>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</si>
  <si>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</si>
  <si>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</si>
  <si>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</si>
  <si>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</si>
  <si>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</si>
  <si>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</si>
  <si>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</si>
  <si>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</si>
  <si>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</si>
  <si>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</si>
  <si>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</si>
  <si>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</si>
  <si>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</si>
  <si>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</si>
  <si>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</si>
  <si>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</si>
  <si>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</si>
  <si>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8.2.1</t>
  </si>
  <si>
    <t>Classification of information</t>
  </si>
  <si>
    <t>8.2.2</t>
  </si>
  <si>
    <t>Labelling of information</t>
  </si>
  <si>
    <t>8.2.3</t>
  </si>
  <si>
    <t>Handling of assets</t>
  </si>
  <si>
    <t>8.3.1</t>
  </si>
  <si>
    <t>Management of removable media</t>
  </si>
  <si>
    <t>8.3.2</t>
  </si>
  <si>
    <t>Disposal of media</t>
  </si>
  <si>
    <t>8.3.3</t>
  </si>
  <si>
    <t>Physical media transfer</t>
  </si>
  <si>
    <t>9.1.1</t>
  </si>
  <si>
    <t>Access control policy</t>
  </si>
  <si>
    <t>9.1.2</t>
  </si>
  <si>
    <t>Access to networks and network services</t>
  </si>
  <si>
    <t>9.2.1</t>
  </si>
  <si>
    <t>User registration and de-registration</t>
  </si>
  <si>
    <t>9.2.2</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</si>
  <si>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</si>
  <si>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</si>
  <si>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</si>
  <si>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</si>
  <si>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</si>
  <si>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</si>
  <si>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</si>
  <si>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</si>
  <si>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</si>
  <si>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</si>
  <si>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</si>
  <si>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</si>
  <si>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</si>
  <si>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</si>
  <si>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</si>
  <si>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9.4.3</t>
  </si>
  <si>
    <t>Password management system</t>
  </si>
  <si>
    <t>9.4.4</t>
  </si>
  <si>
    <t>Use of privileged utility programs</t>
  </si>
  <si>
    <t>9.4.5</t>
  </si>
  <si>
    <t>Access control to program source code</t>
  </si>
  <si>
    <t>10.1.1</t>
  </si>
  <si>
    <t>Policy on the use of cryptographic controls</t>
  </si>
  <si>
    <t>10.1.2</t>
  </si>
  <si>
    <t>Key management</t>
  </si>
  <si>
    <t>11.1.1</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</si>
  <si>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</si>
  <si>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</si>
  <si>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</si>
  <si>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</si>
  <si>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</si>
  <si>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</si>
  <si>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</si>
  <si>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</si>
  <si>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</si>
  <si>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</si>
  <si>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</si>
  <si>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11.2.1</t>
  </si>
  <si>
    <t>Equipment siting and protection</t>
  </si>
  <si>
    <t>11.2.2</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</si>
  <si>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</si>
  <si>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</si>
  <si>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</si>
  <si>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</si>
  <si>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</si>
  <si>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</si>
  <si>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</si>
  <si>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</si>
  <si>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</si>
  <si>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</si>
  <si>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</si>
  <si>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</si>
  <si>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</si>
  <si>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</si>
  <si>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</si>
  <si>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12.1.1</t>
  </si>
  <si>
    <t>Documented operating procedures</t>
  </si>
  <si>
    <t>12.1.2</t>
  </si>
  <si>
    <t>Change management</t>
  </si>
  <si>
    <t>12.1.3</t>
  </si>
  <si>
    <t>Capacity management</t>
  </si>
  <si>
    <t>12.1.4</t>
  </si>
  <si>
    <t>Separation of development, testing and operational environments</t>
  </si>
  <si>
    <t>12.2.1</t>
  </si>
  <si>
    <t>Controls against malware</t>
  </si>
  <si>
    <t>12.3.1</t>
  </si>
  <si>
    <t>Information backup</t>
  </si>
  <si>
    <t>12.4.1</t>
  </si>
  <si>
    <t>Event logging</t>
  </si>
  <si>
    <t>12.4.2</t>
  </si>
  <si>
    <t>Protection of log information</t>
  </si>
  <si>
    <t>12.4.3</t>
  </si>
  <si>
    <t>Administrator and operator logs</t>
  </si>
  <si>
    <t>12.4.4</t>
  </si>
  <si>
    <t>Clock synchronisation</t>
  </si>
  <si>
    <t>12.5.1</t>
  </si>
  <si>
    <t>Installation of software on operational systems</t>
  </si>
  <si>
    <t>12.6.1</t>
  </si>
  <si>
    <t>Management of technical vulnerabilities</t>
  </si>
  <si>
    <t>12.6.2</t>
  </si>
  <si>
    <t>Restrictions on software installation</t>
  </si>
  <si>
    <t>12.7.1</t>
  </si>
  <si>
    <t>Information systems audit controls</t>
  </si>
  <si>
    <t>13.1.1</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</si>
  <si>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</si>
  <si>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</si>
  <si>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</si>
  <si>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</si>
  <si>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</si>
  <si>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</si>
  <si>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</si>
  <si>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</si>
  <si>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</si>
  <si>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</si>
  <si>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</si>
  <si>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</si>
  <si>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</si>
  <si>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</si>
  <si>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</si>
  <si>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</si>
  <si>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</si>
  <si>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</si>
  <si>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</si>
  <si>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14.2.1</t>
  </si>
  <si>
    <t>Secure development policy</t>
  </si>
  <si>
    <t>14.2.2</t>
  </si>
  <si>
    <t>System change control procedures</t>
  </si>
  <si>
    <t>14.2.3</t>
  </si>
  <si>
    <t>Technical review of applications after operating platform changes</t>
  </si>
  <si>
    <t>14.2.4</t>
  </si>
  <si>
    <t>Restrictions on changes to software packages</t>
  </si>
  <si>
    <t>14.2.5</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</si>
  <si>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</si>
  <si>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</si>
  <si>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</si>
  <si>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</si>
  <si>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</si>
  <si>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</si>
  <si>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</si>
  <si>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</si>
  <si>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</si>
  <si>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</si>
  <si>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</si>
  <si>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</si>
  <si>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</si>
  <si>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</si>
  <si>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</si>
  <si>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</si>
  <si>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</si>
  <si>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15.2.1</t>
  </si>
  <si>
    <t>Monitoring and review of supplier services</t>
  </si>
  <si>
    <t>15.2.2</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</si>
  <si>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</si>
  <si>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</si>
  <si>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</si>
  <si>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</si>
  <si>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</si>
  <si>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</si>
  <si>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</si>
  <si>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</si>
  <si>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</si>
  <si>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16.1.5</t>
  </si>
  <si>
    <t>Response to information security incidents</t>
  </si>
  <si>
    <t>16.1.6</t>
  </si>
  <si>
    <t>Learning from information security incidents</t>
  </si>
  <si>
    <t>16.1.7</t>
  </si>
  <si>
    <t>Collection of evidence</t>
  </si>
  <si>
    <t>17.1.1</t>
  </si>
  <si>
    <t>Planning information security continuity</t>
  </si>
  <si>
    <t>17.1.2</t>
  </si>
  <si>
    <t>Implementing information security continuity</t>
  </si>
  <si>
    <t>17.1.3</t>
  </si>
  <si>
    <t>Verify, review and evaluate information security continuity</t>
  </si>
  <si>
    <t>17.2.1</t>
  </si>
  <si>
    <t>Availability of information processing facilities</t>
  </si>
  <si>
    <t>18.1.1</t>
  </si>
  <si>
    <t>Identification of applicable legislation and contractual requirements</t>
  </si>
  <si>
    <t>18.1.2</t>
  </si>
  <si>
    <t>Intellectual property rights</t>
  </si>
  <si>
    <t>18.1.3</t>
  </si>
  <si>
    <t>Protection of records</t>
  </si>
  <si>
    <t>18.1.4</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</si>
  <si>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</si>
  <si>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</si>
  <si>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</si>
  <si>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</si>
  <si>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</si>
  <si>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</si>
  <si>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</si>
  <si>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</si>
  <si>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</si>
  <si>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8.2.3, 10.1.1</t>
  </si>
  <si>
    <t>Handling of assets; Policy on the use of cryptographic controls</t>
  </si>
  <si>
    <t>11.1.1,11.1.2</t>
  </si>
  <si>
    <t>Physical security perimeter; Physical entry controls</t>
  </si>
  <si>
    <t>9.2.3, 9.3.1, 9.4.3</t>
  </si>
  <si>
    <t>Management of privileged access rights; Use of secret authentication information; Password management system</t>
  </si>
  <si>
    <t>9.1.1, 9.2.3, 9.3.1, 9.4.3</t>
  </si>
  <si>
    <t>Access control policy; Management of privileged access rights; Use of secret authentication information; Password management system</t>
  </si>
  <si>
    <t>CSC 1</t>
  </si>
  <si>
    <t>Inventory of Authorized and Unauthorized Devices</t>
  </si>
  <si>
    <t>CSC 2</t>
  </si>
  <si>
    <t>Inventory of Authorized and Unauthorized Software</t>
  </si>
  <si>
    <t>CSC 3</t>
  </si>
  <si>
    <t>Secure Configurations for Hardware and Software</t>
  </si>
  <si>
    <t>CSC 4</t>
  </si>
  <si>
    <t>Continuous Vulnerability Assessment and Remediation</t>
  </si>
  <si>
    <t>CSC 5</t>
  </si>
  <si>
    <t>Malware Defenses</t>
  </si>
  <si>
    <t>CSC 6</t>
  </si>
  <si>
    <t>Application Software Security</t>
  </si>
  <si>
    <t>CSC 7</t>
  </si>
  <si>
    <t>Wireless Access Control</t>
  </si>
  <si>
    <t>CSC 8</t>
  </si>
  <si>
    <t>Data Recovery Capability</t>
  </si>
  <si>
    <t>CSC 9</t>
  </si>
  <si>
    <t>Security Skills Assessment and Appropriate Training to Fill Gaps</t>
  </si>
  <si>
    <t>CSC 10</t>
  </si>
  <si>
    <t>Secure Configurations for Network Devices</t>
  </si>
  <si>
    <t>CSC 11</t>
  </si>
  <si>
    <t>Limitation and Control of Network Ports</t>
  </si>
  <si>
    <t>CSC 12</t>
  </si>
  <si>
    <t>Controlled Use of Administrative Privileges</t>
  </si>
  <si>
    <t>CSC 13</t>
  </si>
  <si>
    <t>Boundary Defense</t>
  </si>
  <si>
    <t>CSC 14</t>
  </si>
  <si>
    <t>Maintenance, Monitoring, and Analysis of Audit Logs</t>
  </si>
  <si>
    <t>CSC 15</t>
  </si>
  <si>
    <t>Controlled Access Based on the Need to Know</t>
  </si>
  <si>
    <t>CSC 16</t>
  </si>
  <si>
    <t>Account Monitoring and Control</t>
  </si>
  <si>
    <t>CSC 17</t>
  </si>
  <si>
    <t>Data Protection</t>
  </si>
  <si>
    <t>CSC 18</t>
  </si>
  <si>
    <t>Incident Response and Management</t>
  </si>
  <si>
    <t>CSC 19</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</si>
  <si>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</si>
  <si>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</si>
  <si>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</si>
  <si>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</si>
  <si>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</si>
  <si>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</si>
  <si>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</si>
  <si>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</si>
  <si>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</si>
  <si>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</si>
  <si>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</si>
  <si>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</si>
  <si>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</si>
  <si>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</si>
  <si>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</si>
  <si>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</si>
  <si>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</si>
  <si>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</si>
  <si>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</si>
  <si>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</si>
  <si>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</si>
  <si>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</si>
  <si>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</si>
  <si>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</si>
  <si>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</si>
  <si>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</si>
  <si>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</si>
  <si>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ID.GV-2</t>
  </si>
  <si>
    <t xml:space="preserve"> Information security roles &amp; responsibilities are coordinated and aligned with internal roles and external partners</t>
  </si>
  <si>
    <t>ID.GV-3</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</si>
  <si>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</si>
  <si>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</si>
  <si>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</si>
  <si>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</si>
  <si>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</si>
  <si>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</si>
  <si>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</si>
  <si>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</si>
  <si>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</si>
  <si>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</si>
  <si>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</si>
  <si>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</si>
  <si>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</si>
  <si>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</si>
  <si>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</si>
  <si>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</si>
  <si>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</si>
  <si>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</si>
  <si>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</si>
  <si>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</si>
  <si>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</si>
  <si>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PR.AC-1</t>
  </si>
  <si>
    <t xml:space="preserve"> Identities and credentials are managed for authorized devices and users</t>
  </si>
  <si>
    <t>PR.AC-2</t>
  </si>
  <si>
    <t xml:space="preserve"> Physical access to assets is managed and protected</t>
  </si>
  <si>
    <t>PR.AC-3</t>
  </si>
  <si>
    <t xml:space="preserve"> Remote access is managed</t>
  </si>
  <si>
    <t>PR.AC-4</t>
  </si>
  <si>
    <t xml:space="preserve"> Access permissions are managed, incorporating the principles of least privilege and separation of duties</t>
  </si>
  <si>
    <t>PR.AC-5</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</si>
  <si>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</si>
  <si>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</si>
  <si>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</si>
  <si>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</si>
  <si>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</si>
  <si>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</si>
  <si>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</si>
  <si>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</si>
  <si>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</si>
  <si>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</si>
  <si>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</si>
  <si>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PR.DS-1</t>
  </si>
  <si>
    <t xml:space="preserve"> Data-at-rest is protected</t>
  </si>
  <si>
    <t>PR.DS-2</t>
  </si>
  <si>
    <t xml:space="preserve"> Data-in-transit is protected</t>
  </si>
  <si>
    <t>PR.DS-3</t>
  </si>
  <si>
    <t xml:space="preserve"> Assets are formally managed throughout removal, transfers, and disposition</t>
  </si>
  <si>
    <t>PR.DS-4</t>
  </si>
  <si>
    <t xml:space="preserve"> Adequate capacity to ensure availability is maintained</t>
  </si>
  <si>
    <t>PR.DS-5</t>
  </si>
  <si>
    <t xml:space="preserve"> Protections against data leaks are implemented</t>
  </si>
  <si>
    <t>PR.DS-6</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</si>
  <si>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</si>
  <si>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</si>
  <si>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</si>
  <si>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</si>
  <si>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</si>
  <si>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PR.IP-2</t>
  </si>
  <si>
    <t xml:space="preserve"> A System Development Life Cycle to manage systems is implemented</t>
  </si>
  <si>
    <t>PR.IP-3</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</si>
  <si>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</si>
  <si>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</si>
  <si>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</si>
  <si>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</si>
  <si>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</si>
  <si>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</si>
  <si>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</si>
  <si>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</si>
  <si>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</si>
  <si>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</si>
  <si>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</si>
  <si>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PR.IP-9</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</si>
  <si>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</si>
  <si>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</si>
  <si>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</si>
  <si>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</si>
  <si>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</si>
  <si>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</si>
  <si>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</si>
  <si>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</si>
  <si>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</si>
  <si>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</si>
  <si>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</si>
  <si>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PR.PT-1</t>
  </si>
  <si>
    <t xml:space="preserve"> Audit/log records are determined, documented, implemented, and reviewed in accordance with policy</t>
  </si>
  <si>
    <t>PR.PT-2</t>
  </si>
  <si>
    <t xml:space="preserve"> Removable media is protected and its use restricted according to policy</t>
  </si>
  <si>
    <t>PR.PT-3</t>
  </si>
  <si>
    <t xml:space="preserve"> Access to systems and assets is controlled, incorporating the principle of least functionality</t>
  </si>
  <si>
    <t>PR.PT-4</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</si>
  <si>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</si>
  <si>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</si>
  <si>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</si>
  <si>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</si>
  <si>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</si>
  <si>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</si>
  <si>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</si>
  <si>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</si>
  <si>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</si>
  <si>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</si>
  <si>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</si>
  <si>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</si>
  <si>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</si>
  <si>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</si>
  <si>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</si>
  <si>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</si>
  <si>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</si>
  <si>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</si>
  <si>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</si>
  <si>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</si>
  <si>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</si>
  <si>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</si>
  <si>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</si>
  <si>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</si>
  <si>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</si>
  <si>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DE.CM-8</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</si>
  <si>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</si>
  <si>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</si>
  <si>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</si>
  <si>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</si>
  <si>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</si>
  <si>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</si>
  <si>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</si>
  <si>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</si>
  <si>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</si>
  <si>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</si>
  <si>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</si>
  <si>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</si>
  <si>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</si>
  <si>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</si>
  <si>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</si>
  <si>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</si>
  <si>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</si>
  <si>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</si>
  <si>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</si>
  <si>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</si>
  <si>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</si>
  <si>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</si>
  <si>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</si>
  <si>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</si>
  <si>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</si>
  <si>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</si>
  <si>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</si>
  <si>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</si>
  <si>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</si>
  <si>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</si>
  <si>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</si>
  <si>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</si>
  <si>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</si>
  <si>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</si>
  <si>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</si>
  <si>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</si>
  <si>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</si>
  <si>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</si>
  <si>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</si>
  <si>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</si>
  <si>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</si>
  <si>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</si>
  <si>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</si>
  <si>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</si>
  <si>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</si>
  <si>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</si>
  <si>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</si>
  <si>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</si>
  <si>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</si>
  <si>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</si>
  <si>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</si>
  <si>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</si>
  <si>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</si>
  <si>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PR.AC-4, PR.PT-3</t>
  </si>
  <si>
    <t xml:space="preserve"> Access permissions are managed, incorporating the principles of least privilege and separation of duties;  Access to systems and assets is controlled, incorporating the principle of least functionality</t>
  </si>
  <si>
    <t>ID.AM-1, ID.AM-2, ID.AM-4</t>
  </si>
  <si>
    <t xml:space="preserve"> Physical devices and systems within the organization are inventoried;  Software platforms and applications within the organization are inventoried;  Organizational communication and data flows are mapped</t>
  </si>
  <si>
    <t>PR.AC-1, PR.AC-4</t>
  </si>
  <si>
    <t xml:space="preserve"> Identities and credentials are managed for authorized devices and users;  Access permissions are managed, incorporating the principles of least privilege and separation of duties</t>
  </si>
  <si>
    <t>PR.AC-2, PR.IP-5</t>
  </si>
  <si>
    <t xml:space="preserve"> Physical access to assets is managed and protected;  Policy and regulations regarding the physical operating environment for organizational assets are met</t>
  </si>
  <si>
    <t>PR.DS-1, PR.DS-2</t>
  </si>
  <si>
    <t xml:space="preserve"> Data-at-rest is protected;  Data-in-transit is protected</t>
  </si>
  <si>
    <t>DE.CM-1, DE.CM-2, DE.CM-7</t>
  </si>
  <si>
    <t xml:space="preserve"> The network is monitored to detect potential cybersecurity events;  The physical environment is monitored to detect potential cybersecurity events;  Monitoring for unauthorized personnel, connections, devices, and software is performed</t>
  </si>
  <si>
    <t>PR.AC-2, PR.AT-5, PR.IP-5, DE.CM-2</t>
  </si>
  <si>
    <t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t>
  </si>
  <si>
    <t>PR.AC-2, PR.AC-4, PR.DS-1, PR.DS-3, PR.DS-5</t>
  </si>
  <si>
    <t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t>
  </si>
  <si>
    <t>PR.IP-1, PR.IP-2</t>
  </si>
  <si>
    <t xml:space="preserve"> A baseline configuration of information technology/industrial control systems is created and maintained;  A System Development Life Cycle to manage systems is implemented</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</si>
  <si>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</si>
  <si>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</si>
  <si>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</si>
  <si>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</si>
  <si>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3.1.3</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</si>
  <si>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</si>
  <si>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</si>
  <si>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</si>
  <si>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</si>
  <si>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</si>
  <si>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</si>
  <si>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</si>
  <si>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</si>
  <si>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</si>
  <si>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</si>
  <si>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</si>
  <si>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</si>
  <si>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</si>
  <si>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</si>
  <si>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</si>
  <si>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</si>
  <si>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</si>
  <si>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</si>
  <si>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</si>
  <si>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</si>
  <si>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</si>
  <si>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</si>
  <si>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</si>
  <si>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</si>
  <si>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</si>
  <si>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</si>
  <si>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</si>
  <si>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</si>
  <si>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</si>
  <si>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</si>
  <si>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</si>
  <si>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</si>
  <si>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</si>
  <si>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</si>
  <si>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</si>
  <si>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</si>
  <si>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</si>
  <si>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</si>
  <si>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</si>
  <si>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</si>
  <si>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</si>
  <si>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</si>
  <si>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</si>
  <si>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</si>
  <si>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</si>
  <si>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</si>
  <si>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</si>
  <si>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</si>
  <si>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</si>
  <si>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</si>
  <si>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</si>
  <si>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</si>
  <si>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</si>
  <si>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</si>
  <si>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</si>
  <si>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</si>
  <si>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</si>
  <si>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</si>
  <si>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</si>
  <si>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</si>
  <si>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</si>
  <si>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</si>
  <si>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</si>
  <si>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3.4.1</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</si>
  <si>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</si>
  <si>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</si>
  <si>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</si>
  <si>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3.4.3</t>
  </si>
  <si>
    <t>Track, review, approve or disapprove, and log changes to organizational systems.</t>
  </si>
  <si>
    <t>3.4.4</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</si>
  <si>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</si>
  <si>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</si>
  <si>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</si>
  <si>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</si>
  <si>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</si>
  <si>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</si>
  <si>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</si>
  <si>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</si>
  <si>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</si>
  <si>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3.4.9</t>
  </si>
  <si>
    <t>Control and monitor user-installed software.</t>
  </si>
  <si>
    <t>3.5.1</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</si>
  <si>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</si>
  <si>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</si>
  <si>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</si>
  <si>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</si>
  <si>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</si>
  <si>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</si>
  <si>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</si>
  <si>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</si>
  <si>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</si>
  <si>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</si>
  <si>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</si>
  <si>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3.5.7</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</si>
  <si>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</si>
  <si>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</si>
  <si>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</si>
  <si>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</si>
  <si>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</si>
  <si>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</si>
  <si>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</si>
  <si>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</si>
  <si>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</si>
  <si>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3.6.1</t>
  </si>
  <si>
    <t>Establish an operational incident-handling capability for organizational systems that includes preparation, detection, analysis, containment, recovery, and user response activities.</t>
  </si>
  <si>
    <t>3.6.2</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</si>
  <si>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</si>
  <si>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</si>
  <si>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</si>
  <si>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</si>
  <si>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</si>
  <si>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</si>
  <si>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</si>
  <si>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</si>
  <si>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</si>
  <si>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</si>
  <si>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</si>
  <si>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</si>
  <si>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</si>
  <si>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</si>
  <si>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</si>
  <si>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</si>
  <si>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</si>
  <si>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</si>
  <si>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</si>
  <si>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</si>
  <si>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</si>
  <si>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</si>
  <si>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</si>
  <si>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</si>
  <si>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</si>
  <si>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</si>
  <si>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</si>
  <si>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</si>
  <si>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</si>
  <si>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</si>
  <si>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</si>
  <si>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3.8.9</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</si>
  <si>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</si>
  <si>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</si>
  <si>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</si>
  <si>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</si>
  <si>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</si>
  <si>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</si>
  <si>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</si>
  <si>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3.10.2</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</si>
  <si>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</si>
  <si>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</si>
  <si>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</si>
  <si>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</si>
  <si>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</si>
  <si>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</si>
  <si>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</si>
  <si>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</si>
  <si>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</si>
  <si>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</si>
  <si>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</si>
  <si>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3.11.2</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</si>
  <si>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</si>
  <si>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</si>
  <si>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</si>
  <si>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</si>
  <si>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</si>
  <si>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3.12.2</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</si>
  <si>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</si>
  <si>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</si>
  <si>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</si>
  <si>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</si>
  <si>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</si>
  <si>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</si>
  <si>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</si>
  <si>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3.13.2</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</si>
  <si>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</si>
  <si>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</si>
  <si>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</si>
  <si>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</si>
  <si>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</si>
  <si>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</si>
  <si>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</si>
  <si>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</si>
  <si>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</si>
  <si>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</si>
  <si>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</si>
  <si>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</si>
  <si>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</si>
  <si>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</si>
  <si>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</si>
  <si>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</si>
  <si>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</si>
  <si>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</si>
  <si>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</si>
  <si>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</si>
  <si>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</si>
  <si>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</si>
  <si>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</si>
  <si>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</si>
  <si>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</si>
  <si>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</si>
  <si>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</si>
  <si>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</si>
  <si>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</si>
  <si>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3.14.1</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</si>
  <si>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</si>
  <si>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</si>
  <si>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</si>
  <si>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</si>
  <si>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</si>
  <si>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</si>
  <si>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</si>
  <si>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</si>
  <si>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</si>
  <si>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3.14.6</t>
  </si>
  <si>
    <t>Monitor organizational systems, including inbound and outbound communications traffic, to detect attacks and indicators of potential attacks.</t>
  </si>
  <si>
    <t>3.14.7</t>
  </si>
  <si>
    <t>Identify unauthorized use of organizational systems.</t>
  </si>
  <si>
    <t>3.1.1, 3.1.2, 3.1.7</t>
  </si>
  <si>
    <t>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t>
  </si>
  <si>
    <t>3.1.12, 3.1.13, 3.1.14, 3.1.14, 3.1.15, 3.1.8, 3.1.20, 3.7.5, 3.8.2, 3.13.7</t>
  </si>
  <si>
    <t>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t>
  </si>
  <si>
    <t>3.1.7, 3.3.2, 3.3.3, 3.3.4, 3.3.5, 3.4.3, 3.7.1, 3.7.6, 3.10.4, 3.10.5</t>
  </si>
  <si>
    <t>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t>
  </si>
  <si>
    <t>3.4.3, 3.4.4</t>
  </si>
  <si>
    <t>Track, review, approve or disapprove, and log changes to organizational systems.; Analyze the security impact of changes prior to implementation.</t>
  </si>
  <si>
    <t>3.1.3, 3.8.1</t>
  </si>
  <si>
    <t>Control the flow of CUI in accordance with approved authorizations.;Protect (i.e., physically control and securely store) system media containing CUI, both paper and digital.</t>
  </si>
  <si>
    <t>3.1.19, 3.8.1</t>
  </si>
  <si>
    <t>Encrypt CUI on mobile devices and mobile computing platforms.21;Protect (i.e., physically control and securely store) system media containing CUI, both paper and digital.</t>
  </si>
  <si>
    <t>3.7.1, 3.7.2, 3.8.3</t>
  </si>
  <si>
    <t>Perform maintenance on organizational systems.;Provide controls on the tools, techniques, mechanisms, and personnel used to conduct system maintenance.;Sanitize or destroy system media containing CUI before disposal or release for reuse.</t>
  </si>
  <si>
    <t>3.8.1, 3.8.2</t>
  </si>
  <si>
    <t>Protect (i.e., physically control and securely store) system media containing CUI, both paper and digital.;Limit access to CUI on system media to authorized users.</t>
  </si>
  <si>
    <t>3.6.1, 3.14.6, 3.14.7</t>
  </si>
  <si>
    <t>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t>
  </si>
  <si>
    <t>3.8.2, 3.10.1, 3.10.2, 3.10.5, 3.10.6, 3.12.1</t>
  </si>
  <si>
    <t>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t>
  </si>
  <si>
    <t>3.8.1, 3.8.5, 3.8.7</t>
  </si>
  <si>
    <t>Protect (i.e., physically control and securely store) system media containing CUI, both paper and digital.;Control access to media containing CUI and maintain accountability for media during transport outside of controlled areas.;Control the use of removable media on system components.</t>
  </si>
  <si>
    <t>3.9.1, 3.9.2</t>
  </si>
  <si>
    <t>Screen individuals prior to authorizing access to organizational systems containing CUI.;Ensure that organizational systems containing CUI are protected during and after personnel actions such as terminations and transfers.</t>
  </si>
  <si>
    <t>3.6.1, 3.12.2</t>
  </si>
  <si>
    <t>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t>
  </si>
  <si>
    <t>3.1.18, 3.7.1, 3.13.13</t>
  </si>
  <si>
    <t>Control connection of mobile devices.;Perform maintenance on organizational systems.;Separate user functionality from system management functionality.</t>
  </si>
  <si>
    <t>3.11.1, 3.11.2, 3.11.3</t>
  </si>
  <si>
    <t>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t>
  </si>
  <si>
    <r>
      <rPr>
        <sz val="10"/>
        <color rgb="FF231F20"/>
        <rFont val="Helvetica"/>
        <family val="2"/>
        <scheme val="minor"/>
      </rPr>
      <t>AC-1</t>
    </r>
  </si>
  <si>
    <r>
      <rPr>
        <sz val="10"/>
        <color rgb="FF231F20"/>
        <rFont val="Helvetica"/>
        <family val="2"/>
        <scheme val="minor"/>
      </rPr>
      <t>Access Control Policy and Procedures</t>
    </r>
  </si>
  <si>
    <r>
      <rPr>
        <sz val="10"/>
        <color rgb="FF231F20"/>
        <rFont val="Helvetica"/>
        <family val="2"/>
        <scheme val="minor"/>
      </rPr>
      <t>AC-2</t>
    </r>
  </si>
  <si>
    <r>
      <rPr>
        <sz val="10"/>
        <color rgb="FF231F20"/>
        <rFont val="Helvetica"/>
        <family val="2"/>
        <scheme val="minor"/>
      </rPr>
      <t>Account Management</t>
    </r>
  </si>
  <si>
    <r>
      <rPr>
        <sz val="10"/>
        <color rgb="FF231F20"/>
        <rFont val="Helvetica"/>
        <family val="2"/>
        <scheme val="minor"/>
      </rPr>
      <t>AC-3</t>
    </r>
  </si>
  <si>
    <r>
      <rPr>
        <sz val="10"/>
        <color rgb="FF231F20"/>
        <rFont val="Helvetica"/>
        <family val="2"/>
        <scheme val="minor"/>
      </rPr>
      <t>Access Enforcement</t>
    </r>
  </si>
  <si>
    <r>
      <rPr>
        <sz val="10"/>
        <color rgb="FF231F20"/>
        <rFont val="Helvetica"/>
        <family val="2"/>
        <scheme val="minor"/>
      </rPr>
      <t>AC-4</t>
    </r>
  </si>
  <si>
    <r>
      <rPr>
        <sz val="10"/>
        <color rgb="FF231F20"/>
        <rFont val="Helvetica"/>
        <family val="2"/>
        <scheme val="minor"/>
      </rPr>
      <t>Information Flow Enforcement</t>
    </r>
  </si>
  <si>
    <r>
      <rPr>
        <sz val="10"/>
        <color rgb="FF231F20"/>
        <rFont val="Helvetica"/>
        <family val="2"/>
        <scheme val="minor"/>
      </rPr>
      <t>AC-5</t>
    </r>
  </si>
  <si>
    <r>
      <rPr>
        <sz val="10"/>
        <color rgb="FF231F20"/>
        <rFont val="Helvetica"/>
        <family val="2"/>
        <scheme val="minor"/>
      </rPr>
      <t>Separation of Duties</t>
    </r>
  </si>
  <si>
    <r>
      <rPr>
        <sz val="10"/>
        <color rgb="FF231F20"/>
        <rFont val="Helvetica"/>
        <family val="2"/>
        <scheme val="minor"/>
      </rPr>
      <t>AC-6</t>
    </r>
  </si>
  <si>
    <r>
      <rPr>
        <sz val="10"/>
        <color rgb="FF231F20"/>
        <rFont val="Helvetica"/>
        <family val="2"/>
        <scheme val="minor"/>
      </rPr>
      <t>Least Privilege</t>
    </r>
  </si>
  <si>
    <t>AC-6(9)</t>
  </si>
  <si>
    <t>Access Control: Auditing use of privileged functions</t>
  </si>
  <si>
    <r>
      <rPr>
        <sz val="10"/>
        <color rgb="FF231F20"/>
        <rFont val="Helvetica"/>
        <family val="2"/>
        <scheme val="minor"/>
      </rPr>
      <t>AC-7</t>
    </r>
  </si>
  <si>
    <r>
      <rPr>
        <sz val="10"/>
        <color rgb="FF231F20"/>
        <rFont val="Helvetica"/>
        <family val="2"/>
        <scheme val="minor"/>
      </rPr>
      <t>Unsuccessful Logon Attempts</t>
    </r>
  </si>
  <si>
    <r>
      <rPr>
        <sz val="10"/>
        <color rgb="FF231F20"/>
        <rFont val="Helvetica"/>
        <family val="2"/>
        <scheme val="minor"/>
      </rPr>
      <t>AC-8</t>
    </r>
  </si>
  <si>
    <r>
      <rPr>
        <sz val="10"/>
        <color rgb="FF231F20"/>
        <rFont val="Helvetica"/>
        <family val="2"/>
        <scheme val="minor"/>
      </rPr>
      <t>System Use Notification</t>
    </r>
  </si>
  <si>
    <r>
      <rPr>
        <sz val="10"/>
        <color rgb="FF231F20"/>
        <rFont val="Helvetica"/>
        <family val="2"/>
        <scheme val="minor"/>
      </rPr>
      <t>AC-9</t>
    </r>
  </si>
  <si>
    <r>
      <rPr>
        <sz val="10"/>
        <color rgb="FF231F20"/>
        <rFont val="Helvetica"/>
        <family val="2"/>
        <scheme val="minor"/>
      </rPr>
      <t>Previous Logon (Access) Notification</t>
    </r>
  </si>
  <si>
    <r>
      <rPr>
        <sz val="10"/>
        <color rgb="FF231F20"/>
        <rFont val="Helvetica"/>
        <family val="2"/>
        <scheme val="minor"/>
      </rPr>
      <t>AC-10</t>
    </r>
  </si>
  <si>
    <r>
      <rPr>
        <sz val="10"/>
        <color rgb="FF231F20"/>
        <rFont val="Helvetica"/>
        <family val="2"/>
        <scheme val="minor"/>
      </rPr>
      <t>Concurrent Session Control</t>
    </r>
  </si>
  <si>
    <r>
      <rPr>
        <sz val="10"/>
        <color rgb="FF231F20"/>
        <rFont val="Helvetica"/>
        <family val="2"/>
        <scheme val="minor"/>
      </rPr>
      <t>AC-11</t>
    </r>
  </si>
  <si>
    <r>
      <rPr>
        <sz val="10"/>
        <color rgb="FF231F20"/>
        <rFont val="Helvetica"/>
        <family val="2"/>
        <scheme val="minor"/>
      </rPr>
      <t>Session Lock</t>
    </r>
  </si>
  <si>
    <r>
      <rPr>
        <sz val="10"/>
        <color rgb="FF231F20"/>
        <rFont val="Helvetica"/>
        <family val="2"/>
        <scheme val="minor"/>
      </rPr>
      <t>AC-12</t>
    </r>
  </si>
  <si>
    <r>
      <rPr>
        <sz val="10"/>
        <color rgb="FF231F20"/>
        <rFont val="Helvetica"/>
        <family val="2"/>
        <scheme val="minor"/>
      </rPr>
      <t>Session Termination</t>
    </r>
  </si>
  <si>
    <r>
      <rPr>
        <sz val="10"/>
        <color rgb="FF231F20"/>
        <rFont val="Helvetica"/>
        <family val="2"/>
        <scheme val="minor"/>
      </rPr>
      <t>AC-13</t>
    </r>
  </si>
  <si>
    <r>
      <rPr>
        <b/>
        <sz val="10"/>
        <color rgb="FF231F20"/>
        <rFont val="Helvetica"/>
        <family val="2"/>
        <scheme val="minor"/>
      </rPr>
      <t>Withdrawn</t>
    </r>
  </si>
  <si>
    <r>
      <rPr>
        <sz val="10"/>
        <color rgb="FF231F20"/>
        <rFont val="Helvetica"/>
        <family val="2"/>
        <scheme val="minor"/>
      </rPr>
      <t>AC-14</t>
    </r>
  </si>
  <si>
    <t>Permitted Actions without Identification or Authentication</t>
  </si>
  <si>
    <r>
      <rPr>
        <sz val="10"/>
        <color rgb="FF231F20"/>
        <rFont val="Helvetica"/>
        <family val="2"/>
        <scheme val="minor"/>
      </rPr>
      <t>AC-15</t>
    </r>
  </si>
  <si>
    <r>
      <rPr>
        <sz val="10"/>
        <color rgb="FF231F20"/>
        <rFont val="Helvetica"/>
        <family val="2"/>
        <scheme val="minor"/>
      </rPr>
      <t>AC-16</t>
    </r>
  </si>
  <si>
    <r>
      <rPr>
        <sz val="10"/>
        <color rgb="FF231F20"/>
        <rFont val="Helvetica"/>
        <family val="2"/>
        <scheme val="minor"/>
      </rPr>
      <t>Security Attributes</t>
    </r>
  </si>
  <si>
    <r>
      <rPr>
        <sz val="10"/>
        <color rgb="FF231F20"/>
        <rFont val="Helvetica"/>
        <family val="2"/>
        <scheme val="minor"/>
      </rPr>
      <t>AC-17</t>
    </r>
  </si>
  <si>
    <r>
      <rPr>
        <sz val="10"/>
        <color rgb="FF231F20"/>
        <rFont val="Helvetica"/>
        <family val="2"/>
        <scheme val="minor"/>
      </rPr>
      <t>Remote Access</t>
    </r>
  </si>
  <si>
    <r>
      <rPr>
        <sz val="10"/>
        <color rgb="FF231F20"/>
        <rFont val="Helvetica"/>
        <family val="2"/>
        <scheme val="minor"/>
      </rPr>
      <t>AC-18</t>
    </r>
  </si>
  <si>
    <r>
      <rPr>
        <sz val="10"/>
        <color rgb="FF231F20"/>
        <rFont val="Helvetica"/>
        <family val="2"/>
        <scheme val="minor"/>
      </rPr>
      <t>Wireless Access</t>
    </r>
  </si>
  <si>
    <r>
      <rPr>
        <sz val="10"/>
        <color rgb="FF231F20"/>
        <rFont val="Helvetica"/>
        <family val="2"/>
        <scheme val="minor"/>
      </rPr>
      <t>AC-19</t>
    </r>
  </si>
  <si>
    <r>
      <rPr>
        <sz val="10"/>
        <color rgb="FF231F20"/>
        <rFont val="Helvetica"/>
        <family val="2"/>
        <scheme val="minor"/>
      </rPr>
      <t>Access Control for Mobile Devices</t>
    </r>
  </si>
  <si>
    <t>AC-19(5)</t>
  </si>
  <si>
    <t>Access Control: Full device / container based encryption</t>
  </si>
  <si>
    <r>
      <rPr>
        <sz val="10"/>
        <color rgb="FF231F20"/>
        <rFont val="Helvetica"/>
        <family val="2"/>
        <scheme val="minor"/>
      </rPr>
      <t>AC-20</t>
    </r>
  </si>
  <si>
    <r>
      <rPr>
        <sz val="10"/>
        <color rgb="FF231F20"/>
        <rFont val="Helvetica"/>
        <family val="2"/>
        <scheme val="minor"/>
      </rPr>
      <t>Use of External Information Systems</t>
    </r>
  </si>
  <si>
    <r>
      <rPr>
        <sz val="10"/>
        <color rgb="FF231F20"/>
        <rFont val="Helvetica"/>
        <family val="2"/>
        <scheme val="minor"/>
      </rPr>
      <t>AC-21</t>
    </r>
  </si>
  <si>
    <r>
      <rPr>
        <sz val="10"/>
        <color rgb="FF231F20"/>
        <rFont val="Helvetica"/>
        <family val="2"/>
        <scheme val="minor"/>
      </rPr>
      <t>Information Sharing</t>
    </r>
  </si>
  <si>
    <r>
      <rPr>
        <sz val="10"/>
        <color rgb="FF231F20"/>
        <rFont val="Helvetica"/>
        <family val="2"/>
        <scheme val="minor"/>
      </rPr>
      <t>AC-22</t>
    </r>
  </si>
  <si>
    <r>
      <rPr>
        <sz val="10"/>
        <color rgb="FF231F20"/>
        <rFont val="Helvetica"/>
        <family val="2"/>
        <scheme val="minor"/>
      </rPr>
      <t>Publicly Accessible Content</t>
    </r>
  </si>
  <si>
    <r>
      <rPr>
        <sz val="10"/>
        <color rgb="FF231F20"/>
        <rFont val="Helvetica"/>
        <family val="2"/>
        <scheme val="minor"/>
      </rPr>
      <t>AC-23</t>
    </r>
  </si>
  <si>
    <r>
      <rPr>
        <sz val="10"/>
        <color rgb="FF231F20"/>
        <rFont val="Helvetica"/>
        <family val="2"/>
        <scheme val="minor"/>
      </rPr>
      <t>Data Mining Protection</t>
    </r>
  </si>
  <si>
    <r>
      <rPr>
        <sz val="10"/>
        <color rgb="FF231F20"/>
        <rFont val="Helvetica"/>
        <family val="2"/>
        <scheme val="minor"/>
      </rPr>
      <t>AC-24</t>
    </r>
  </si>
  <si>
    <r>
      <rPr>
        <sz val="10"/>
        <color rgb="FF231F20"/>
        <rFont val="Helvetica"/>
        <family val="2"/>
        <scheme val="minor"/>
      </rPr>
      <t>Access Control Decisions</t>
    </r>
  </si>
  <si>
    <r>
      <rPr>
        <sz val="10"/>
        <color rgb="FF231F20"/>
        <rFont val="Helvetica"/>
        <family val="2"/>
        <scheme val="minor"/>
      </rPr>
      <t>AC-25</t>
    </r>
  </si>
  <si>
    <r>
      <rPr>
        <sz val="10"/>
        <color rgb="FF231F20"/>
        <rFont val="Helvetica"/>
        <family val="2"/>
        <scheme val="minor"/>
      </rPr>
      <t>Reference Monitor</t>
    </r>
  </si>
  <si>
    <r>
      <rPr>
        <sz val="10"/>
        <color rgb="FF231F20"/>
        <rFont val="Helvetica"/>
        <family val="2"/>
        <scheme val="minor"/>
      </rPr>
      <t>AT-1</t>
    </r>
  </si>
  <si>
    <t>Security Awareness and Training Policy and Procedures</t>
  </si>
  <si>
    <r>
      <rPr>
        <sz val="10"/>
        <color rgb="FF231F20"/>
        <rFont val="Helvetica"/>
        <family val="2"/>
        <scheme val="minor"/>
      </rPr>
      <t>AT-2</t>
    </r>
  </si>
  <si>
    <r>
      <rPr>
        <sz val="10"/>
        <color rgb="FF231F20"/>
        <rFont val="Helvetica"/>
        <family val="2"/>
        <scheme val="minor"/>
      </rPr>
      <t>Security Awareness Training</t>
    </r>
  </si>
  <si>
    <r>
      <rPr>
        <sz val="10"/>
        <color rgb="FF231F20"/>
        <rFont val="Helvetica"/>
        <family val="2"/>
        <scheme val="minor"/>
      </rPr>
      <t>AT-3</t>
    </r>
  </si>
  <si>
    <r>
      <rPr>
        <sz val="10"/>
        <color rgb="FF231F20"/>
        <rFont val="Helvetica"/>
        <family val="2"/>
        <scheme val="minor"/>
      </rPr>
      <t>Role-Based Security Training</t>
    </r>
  </si>
  <si>
    <r>
      <rPr>
        <sz val="10"/>
        <color rgb="FF231F20"/>
        <rFont val="Helvetica"/>
        <family val="2"/>
        <scheme val="minor"/>
      </rPr>
      <t>AT-4</t>
    </r>
  </si>
  <si>
    <r>
      <rPr>
        <sz val="10"/>
        <color rgb="FF231F20"/>
        <rFont val="Helvetica"/>
        <family val="2"/>
        <scheme val="minor"/>
      </rPr>
      <t>Security Training Records</t>
    </r>
  </si>
  <si>
    <r>
      <rPr>
        <sz val="10"/>
        <color rgb="FF231F20"/>
        <rFont val="Helvetica"/>
        <family val="2"/>
        <scheme val="minor"/>
      </rPr>
      <t>AT-5</t>
    </r>
  </si>
  <si>
    <r>
      <rPr>
        <sz val="10"/>
        <color rgb="FF231F20"/>
        <rFont val="Helvetica"/>
        <family val="2"/>
        <scheme val="minor"/>
      </rPr>
      <t>AU-1</t>
    </r>
  </si>
  <si>
    <t>Audit and Accountability Policy and Procedures</t>
  </si>
  <si>
    <r>
      <rPr>
        <sz val="10"/>
        <color rgb="FF231F20"/>
        <rFont val="Helvetica"/>
        <family val="2"/>
        <scheme val="minor"/>
      </rPr>
      <t>AU-2</t>
    </r>
  </si>
  <si>
    <r>
      <rPr>
        <sz val="10"/>
        <color rgb="FF231F20"/>
        <rFont val="Helvetica"/>
        <family val="2"/>
        <scheme val="minor"/>
      </rPr>
      <t>Audit Events</t>
    </r>
  </si>
  <si>
    <t>AU-2(3)</t>
  </si>
  <si>
    <t>Audit and Accountability: reviews and updates</t>
  </si>
  <si>
    <r>
      <rPr>
        <sz val="10"/>
        <color rgb="FF231F20"/>
        <rFont val="Helvetica"/>
        <family val="2"/>
        <scheme val="minor"/>
      </rPr>
      <t>AU-3</t>
    </r>
  </si>
  <si>
    <r>
      <rPr>
        <sz val="10"/>
        <color rgb="FF231F20"/>
        <rFont val="Helvetica"/>
        <family val="2"/>
        <scheme val="minor"/>
      </rPr>
      <t>Content of Audit Records</t>
    </r>
  </si>
  <si>
    <r>
      <rPr>
        <sz val="10"/>
        <color rgb="FF231F20"/>
        <rFont val="Helvetica"/>
        <family val="2"/>
        <scheme val="minor"/>
      </rPr>
      <t>AU-4</t>
    </r>
  </si>
  <si>
    <r>
      <rPr>
        <sz val="10"/>
        <color rgb="FF231F20"/>
        <rFont val="Helvetica"/>
        <family val="2"/>
        <scheme val="minor"/>
      </rPr>
      <t>Audit Storage Capacity</t>
    </r>
  </si>
  <si>
    <r>
      <rPr>
        <sz val="10"/>
        <color rgb="FF231F20"/>
        <rFont val="Helvetica"/>
        <family val="2"/>
        <scheme val="minor"/>
      </rPr>
      <t>AU-5</t>
    </r>
  </si>
  <si>
    <r>
      <rPr>
        <sz val="10"/>
        <color rgb="FF231F20"/>
        <rFont val="Helvetica"/>
        <family val="2"/>
        <scheme val="minor"/>
      </rPr>
      <t>Response to Audit Processing Failures</t>
    </r>
  </si>
  <si>
    <r>
      <rPr>
        <sz val="10"/>
        <color rgb="FF231F20"/>
        <rFont val="Helvetica"/>
        <family val="2"/>
        <scheme val="minor"/>
      </rPr>
      <t>AU-6</t>
    </r>
  </si>
  <si>
    <r>
      <rPr>
        <sz val="10"/>
        <color rgb="FF231F20"/>
        <rFont val="Helvetica"/>
        <family val="2"/>
        <scheme val="minor"/>
      </rPr>
      <t>Audit Review, Analysis, and Reporting</t>
    </r>
  </si>
  <si>
    <r>
      <rPr>
        <sz val="10"/>
        <color rgb="FF231F20"/>
        <rFont val="Helvetica"/>
        <family val="2"/>
        <scheme val="minor"/>
      </rPr>
      <t>AU-7</t>
    </r>
  </si>
  <si>
    <r>
      <rPr>
        <sz val="10"/>
        <color rgb="FF231F20"/>
        <rFont val="Helvetica"/>
        <family val="2"/>
        <scheme val="minor"/>
      </rPr>
      <t>Audit Reduction and Report Generation</t>
    </r>
  </si>
  <si>
    <r>
      <rPr>
        <sz val="10"/>
        <color rgb="FF231F20"/>
        <rFont val="Helvetica"/>
        <family val="2"/>
        <scheme val="minor"/>
      </rPr>
      <t>AU-8</t>
    </r>
  </si>
  <si>
    <r>
      <rPr>
        <sz val="10"/>
        <color rgb="FF231F20"/>
        <rFont val="Helvetica"/>
        <family val="2"/>
        <scheme val="minor"/>
      </rPr>
      <t>Time Stamps</t>
    </r>
  </si>
  <si>
    <r>
      <rPr>
        <sz val="10"/>
        <color rgb="FF231F20"/>
        <rFont val="Helvetica"/>
        <family val="2"/>
        <scheme val="minor"/>
      </rPr>
      <t>AU-9</t>
    </r>
  </si>
  <si>
    <r>
      <rPr>
        <sz val="10"/>
        <color rgb="FF231F20"/>
        <rFont val="Helvetica"/>
        <family val="2"/>
        <scheme val="minor"/>
      </rPr>
      <t>Protection of Audit Information</t>
    </r>
  </si>
  <si>
    <r>
      <rPr>
        <sz val="10"/>
        <color rgb="FF231F20"/>
        <rFont val="Helvetica"/>
        <family val="2"/>
        <scheme val="minor"/>
      </rPr>
      <t>AU-10</t>
    </r>
  </si>
  <si>
    <r>
      <rPr>
        <sz val="10"/>
        <color rgb="FF231F20"/>
        <rFont val="Helvetica"/>
        <family val="2"/>
        <scheme val="minor"/>
      </rPr>
      <t>Non-repudiation</t>
    </r>
  </si>
  <si>
    <r>
      <rPr>
        <sz val="10"/>
        <color rgb="FF231F20"/>
        <rFont val="Helvetica"/>
        <family val="2"/>
        <scheme val="minor"/>
      </rPr>
      <t>AU-11</t>
    </r>
  </si>
  <si>
    <r>
      <rPr>
        <sz val="10"/>
        <color rgb="FF231F20"/>
        <rFont val="Helvetica"/>
        <family val="2"/>
        <scheme val="minor"/>
      </rPr>
      <t>Audit Record Retention</t>
    </r>
  </si>
  <si>
    <r>
      <rPr>
        <sz val="10"/>
        <color rgb="FF231F20"/>
        <rFont val="Helvetica"/>
        <family val="2"/>
        <scheme val="minor"/>
      </rPr>
      <t>AU-12</t>
    </r>
  </si>
  <si>
    <r>
      <rPr>
        <sz val="10"/>
        <color rgb="FF231F20"/>
        <rFont val="Helvetica"/>
        <family val="2"/>
        <scheme val="minor"/>
      </rPr>
      <t>Audit Generation</t>
    </r>
  </si>
  <si>
    <r>
      <rPr>
        <sz val="10"/>
        <color rgb="FF231F20"/>
        <rFont val="Helvetica"/>
        <family val="2"/>
        <scheme val="minor"/>
      </rPr>
      <t>AU-13</t>
    </r>
  </si>
  <si>
    <r>
      <rPr>
        <sz val="10"/>
        <color rgb="FF231F20"/>
        <rFont val="Helvetica"/>
        <family val="2"/>
        <scheme val="minor"/>
      </rPr>
      <t>Monitoring for Information Disclosure</t>
    </r>
  </si>
  <si>
    <r>
      <rPr>
        <sz val="10"/>
        <color rgb="FF231F20"/>
        <rFont val="Helvetica"/>
        <family val="2"/>
        <scheme val="minor"/>
      </rPr>
      <t>AU-14</t>
    </r>
  </si>
  <si>
    <r>
      <rPr>
        <sz val="10"/>
        <color rgb="FF231F20"/>
        <rFont val="Helvetica"/>
        <family val="2"/>
        <scheme val="minor"/>
      </rPr>
      <t>Session Audit</t>
    </r>
  </si>
  <si>
    <r>
      <rPr>
        <sz val="10"/>
        <color rgb="FF231F20"/>
        <rFont val="Helvetica"/>
        <family val="2"/>
        <scheme val="minor"/>
      </rPr>
      <t>AU-15</t>
    </r>
  </si>
  <si>
    <r>
      <rPr>
        <sz val="10"/>
        <color rgb="FF231F20"/>
        <rFont val="Helvetica"/>
        <family val="2"/>
        <scheme val="minor"/>
      </rPr>
      <t>Alternate Audit Capability</t>
    </r>
  </si>
  <si>
    <r>
      <rPr>
        <sz val="10"/>
        <color rgb="FF231F20"/>
        <rFont val="Helvetica"/>
        <family val="2"/>
        <scheme val="minor"/>
      </rPr>
      <t>AU-16</t>
    </r>
  </si>
  <si>
    <r>
      <rPr>
        <sz val="10"/>
        <color rgb="FF231F20"/>
        <rFont val="Helvetica"/>
        <family val="2"/>
        <scheme val="minor"/>
      </rPr>
      <t>Cross-Organizational Auditing</t>
    </r>
  </si>
  <si>
    <r>
      <rPr>
        <sz val="10"/>
        <color rgb="FF231F20"/>
        <rFont val="Helvetica"/>
        <family val="2"/>
        <scheme val="minor"/>
      </rPr>
      <t>CA-1</t>
    </r>
  </si>
  <si>
    <t>Security Assessment and Authorization Policies and Procedures</t>
  </si>
  <si>
    <r>
      <rPr>
        <sz val="10"/>
        <color rgb="FF231F20"/>
        <rFont val="Helvetica"/>
        <family val="2"/>
        <scheme val="minor"/>
      </rPr>
      <t>CA-2</t>
    </r>
  </si>
  <si>
    <r>
      <rPr>
        <sz val="10"/>
        <color rgb="FF231F20"/>
        <rFont val="Helvetica"/>
        <family val="2"/>
        <scheme val="minor"/>
      </rPr>
      <t>Security Assessments</t>
    </r>
  </si>
  <si>
    <r>
      <rPr>
        <sz val="10"/>
        <color rgb="FF231F20"/>
        <rFont val="Helvetica"/>
        <family val="2"/>
        <scheme val="minor"/>
      </rPr>
      <t>CA-3</t>
    </r>
  </si>
  <si>
    <r>
      <rPr>
        <sz val="10"/>
        <color rgb="FF231F20"/>
        <rFont val="Helvetica"/>
        <family val="2"/>
        <scheme val="minor"/>
      </rPr>
      <t>System Interconnections</t>
    </r>
  </si>
  <si>
    <r>
      <rPr>
        <sz val="10"/>
        <color rgb="FF231F20"/>
        <rFont val="Helvetica"/>
        <family val="2"/>
        <scheme val="minor"/>
      </rPr>
      <t>CA-4</t>
    </r>
  </si>
  <si>
    <r>
      <rPr>
        <sz val="10"/>
        <color rgb="FF231F20"/>
        <rFont val="Helvetica"/>
        <family val="2"/>
        <scheme val="minor"/>
      </rPr>
      <t>CA-5</t>
    </r>
  </si>
  <si>
    <r>
      <rPr>
        <sz val="10"/>
        <color rgb="FF231F20"/>
        <rFont val="Helvetica"/>
        <family val="2"/>
        <scheme val="minor"/>
      </rPr>
      <t>Plan of Action and Milestones</t>
    </r>
  </si>
  <si>
    <r>
      <rPr>
        <sz val="10"/>
        <color rgb="FF231F20"/>
        <rFont val="Helvetica"/>
        <family val="2"/>
        <scheme val="minor"/>
      </rPr>
      <t>CA-6</t>
    </r>
  </si>
  <si>
    <r>
      <rPr>
        <sz val="10"/>
        <color rgb="FF231F20"/>
        <rFont val="Helvetica"/>
        <family val="2"/>
        <scheme val="minor"/>
      </rPr>
      <t>Security Authorization</t>
    </r>
  </si>
  <si>
    <r>
      <rPr>
        <sz val="10"/>
        <color rgb="FF231F20"/>
        <rFont val="Helvetica"/>
        <family val="2"/>
        <scheme val="minor"/>
      </rPr>
      <t>CA-7</t>
    </r>
  </si>
  <si>
    <r>
      <rPr>
        <sz val="10"/>
        <color rgb="FF231F20"/>
        <rFont val="Helvetica"/>
        <family val="2"/>
        <scheme val="minor"/>
      </rPr>
      <t>Continuous Monitoring</t>
    </r>
  </si>
  <si>
    <r>
      <rPr>
        <sz val="10"/>
        <color rgb="FF231F20"/>
        <rFont val="Helvetica"/>
        <family val="2"/>
        <scheme val="minor"/>
      </rPr>
      <t>CA-8</t>
    </r>
  </si>
  <si>
    <r>
      <rPr>
        <sz val="10"/>
        <color rgb="FF231F20"/>
        <rFont val="Helvetica"/>
        <family val="2"/>
        <scheme val="minor"/>
      </rPr>
      <t>Penetration Testing</t>
    </r>
  </si>
  <si>
    <r>
      <rPr>
        <sz val="10"/>
        <color rgb="FF231F20"/>
        <rFont val="Helvetica"/>
        <family val="2"/>
        <scheme val="minor"/>
      </rPr>
      <t>CA-9</t>
    </r>
  </si>
  <si>
    <r>
      <rPr>
        <sz val="10"/>
        <color rgb="FF231F20"/>
        <rFont val="Helvetica"/>
        <family val="2"/>
        <scheme val="minor"/>
      </rPr>
      <t>Internal System Connections</t>
    </r>
  </si>
  <si>
    <r>
      <rPr>
        <sz val="10"/>
        <color rgb="FF231F20"/>
        <rFont val="Helvetica"/>
        <family val="2"/>
        <scheme val="minor"/>
      </rPr>
      <t>CM-1</t>
    </r>
  </si>
  <si>
    <t>Configuration Management Policy and Procedures</t>
  </si>
  <si>
    <r>
      <rPr>
        <sz val="10"/>
        <color rgb="FF231F20"/>
        <rFont val="Helvetica"/>
        <family val="2"/>
        <scheme val="minor"/>
      </rPr>
      <t>CM-2</t>
    </r>
  </si>
  <si>
    <r>
      <rPr>
        <sz val="10"/>
        <color rgb="FF231F20"/>
        <rFont val="Helvetica"/>
        <family val="2"/>
        <scheme val="minor"/>
      </rPr>
      <t>Baseline Configuration</t>
    </r>
  </si>
  <si>
    <r>
      <rPr>
        <sz val="10"/>
        <color rgb="FF231F20"/>
        <rFont val="Helvetica"/>
        <family val="2"/>
        <scheme val="minor"/>
      </rPr>
      <t>CM-3</t>
    </r>
  </si>
  <si>
    <r>
      <rPr>
        <sz val="10"/>
        <color rgb="FF231F20"/>
        <rFont val="Helvetica"/>
        <family val="2"/>
        <scheme val="minor"/>
      </rPr>
      <t>Configuration Change Control</t>
    </r>
  </si>
  <si>
    <r>
      <rPr>
        <sz val="10"/>
        <color rgb="FF231F20"/>
        <rFont val="Helvetica"/>
        <family val="2"/>
        <scheme val="minor"/>
      </rPr>
      <t>CM-4</t>
    </r>
  </si>
  <si>
    <r>
      <rPr>
        <sz val="10"/>
        <color rgb="FF231F20"/>
        <rFont val="Helvetica"/>
        <family val="2"/>
        <scheme val="minor"/>
      </rPr>
      <t>Security Impact Analysis</t>
    </r>
  </si>
  <si>
    <r>
      <rPr>
        <sz val="10"/>
        <color rgb="FF231F20"/>
        <rFont val="Helvetica"/>
        <family val="2"/>
        <scheme val="minor"/>
      </rPr>
      <t>CM-5</t>
    </r>
  </si>
  <si>
    <r>
      <rPr>
        <sz val="10"/>
        <color rgb="FF231F20"/>
        <rFont val="Helvetica"/>
        <family val="2"/>
        <scheme val="minor"/>
      </rPr>
      <t>Access Restrictions for Change</t>
    </r>
  </si>
  <si>
    <r>
      <rPr>
        <sz val="10"/>
        <color rgb="FF231F20"/>
        <rFont val="Helvetica"/>
        <family val="2"/>
        <scheme val="minor"/>
      </rPr>
      <t>CM-6</t>
    </r>
  </si>
  <si>
    <r>
      <rPr>
        <sz val="10"/>
        <color rgb="FF231F20"/>
        <rFont val="Helvetica"/>
        <family val="2"/>
        <scheme val="minor"/>
      </rPr>
      <t>Configuration Settings</t>
    </r>
  </si>
  <si>
    <r>
      <rPr>
        <sz val="10"/>
        <color rgb="FF231F20"/>
        <rFont val="Helvetica"/>
        <family val="2"/>
        <scheme val="minor"/>
      </rPr>
      <t>CM-7</t>
    </r>
  </si>
  <si>
    <r>
      <rPr>
        <sz val="10"/>
        <color rgb="FF231F20"/>
        <rFont val="Helvetica"/>
        <family val="2"/>
        <scheme val="minor"/>
      </rPr>
      <t>Least Functionality</t>
    </r>
  </si>
  <si>
    <r>
      <rPr>
        <sz val="10"/>
        <color rgb="FF231F20"/>
        <rFont val="Helvetica"/>
        <family val="2"/>
        <scheme val="minor"/>
      </rPr>
      <t>CM-8</t>
    </r>
  </si>
  <si>
    <r>
      <rPr>
        <sz val="10"/>
        <color rgb="FF231F20"/>
        <rFont val="Helvetica"/>
        <family val="2"/>
        <scheme val="minor"/>
      </rPr>
      <t>Information System Component Inventory</t>
    </r>
  </si>
  <si>
    <r>
      <rPr>
        <sz val="10"/>
        <color rgb="FF231F20"/>
        <rFont val="Helvetica"/>
        <family val="2"/>
        <scheme val="minor"/>
      </rPr>
      <t>CM-9</t>
    </r>
  </si>
  <si>
    <r>
      <rPr>
        <sz val="10"/>
        <color rgb="FF231F20"/>
        <rFont val="Helvetica"/>
        <family val="2"/>
        <scheme val="minor"/>
      </rPr>
      <t>Configuration Management Plan</t>
    </r>
  </si>
  <si>
    <r>
      <rPr>
        <sz val="10"/>
        <color rgb="FF231F20"/>
        <rFont val="Helvetica"/>
        <family val="2"/>
        <scheme val="minor"/>
      </rPr>
      <t>CM-10</t>
    </r>
  </si>
  <si>
    <r>
      <rPr>
        <sz val="10"/>
        <color rgb="FF231F20"/>
        <rFont val="Helvetica"/>
        <family val="2"/>
        <scheme val="minor"/>
      </rPr>
      <t>Software Usage Restrictions</t>
    </r>
  </si>
  <si>
    <r>
      <rPr>
        <sz val="10"/>
        <color rgb="FF231F20"/>
        <rFont val="Helvetica"/>
        <family val="2"/>
        <scheme val="minor"/>
      </rPr>
      <t>CM-11</t>
    </r>
  </si>
  <si>
    <r>
      <rPr>
        <sz val="10"/>
        <color rgb="FF231F20"/>
        <rFont val="Helvetica"/>
        <family val="2"/>
        <scheme val="minor"/>
      </rPr>
      <t>User-Installed Software</t>
    </r>
  </si>
  <si>
    <r>
      <rPr>
        <sz val="10"/>
        <color rgb="FF231F20"/>
        <rFont val="Helvetica"/>
        <family val="2"/>
        <scheme val="minor"/>
      </rPr>
      <t>CP-1</t>
    </r>
  </si>
  <si>
    <t>Contingency Planning Policy and Procedures</t>
  </si>
  <si>
    <r>
      <rPr>
        <sz val="10"/>
        <color rgb="FF231F20"/>
        <rFont val="Helvetica"/>
        <family val="2"/>
        <scheme val="minor"/>
      </rPr>
      <t>CP-2</t>
    </r>
  </si>
  <si>
    <r>
      <rPr>
        <sz val="10"/>
        <color rgb="FF231F20"/>
        <rFont val="Helvetica"/>
        <family val="2"/>
        <scheme val="minor"/>
      </rPr>
      <t>Contingency Plan</t>
    </r>
  </si>
  <si>
    <r>
      <rPr>
        <sz val="10"/>
        <color rgb="FF231F20"/>
        <rFont val="Helvetica"/>
        <family val="2"/>
        <scheme val="minor"/>
      </rPr>
      <t>CP-3</t>
    </r>
  </si>
  <si>
    <r>
      <rPr>
        <sz val="10"/>
        <color rgb="FF231F20"/>
        <rFont val="Helvetica"/>
        <family val="2"/>
        <scheme val="minor"/>
      </rPr>
      <t>Contingency Training</t>
    </r>
  </si>
  <si>
    <r>
      <rPr>
        <sz val="10"/>
        <color rgb="FF231F20"/>
        <rFont val="Helvetica"/>
        <family val="2"/>
        <scheme val="minor"/>
      </rPr>
      <t>CP-4</t>
    </r>
  </si>
  <si>
    <r>
      <rPr>
        <sz val="10"/>
        <color rgb="FF231F20"/>
        <rFont val="Helvetica"/>
        <family val="2"/>
        <scheme val="minor"/>
      </rPr>
      <t>Contingency Plan Testing</t>
    </r>
  </si>
  <si>
    <r>
      <rPr>
        <sz val="10"/>
        <color rgb="FF231F20"/>
        <rFont val="Helvetica"/>
        <family val="2"/>
        <scheme val="minor"/>
      </rPr>
      <t>CP-5</t>
    </r>
  </si>
  <si>
    <r>
      <rPr>
        <sz val="10"/>
        <color rgb="FF231F20"/>
        <rFont val="Helvetica"/>
        <family val="2"/>
        <scheme val="minor"/>
      </rPr>
      <t>CP-6</t>
    </r>
  </si>
  <si>
    <r>
      <rPr>
        <sz val="10"/>
        <color rgb="FF231F20"/>
        <rFont val="Helvetica"/>
        <family val="2"/>
        <scheme val="minor"/>
      </rPr>
      <t>Alternate Storage Site</t>
    </r>
  </si>
  <si>
    <r>
      <rPr>
        <sz val="10"/>
        <color rgb="FF231F20"/>
        <rFont val="Helvetica"/>
        <family val="2"/>
        <scheme val="minor"/>
      </rPr>
      <t>CP-7</t>
    </r>
  </si>
  <si>
    <r>
      <rPr>
        <sz val="10"/>
        <color rgb="FF231F20"/>
        <rFont val="Helvetica"/>
        <family val="2"/>
        <scheme val="minor"/>
      </rPr>
      <t>Alternate Processing Site</t>
    </r>
  </si>
  <si>
    <r>
      <rPr>
        <sz val="10"/>
        <color rgb="FF231F20"/>
        <rFont val="Helvetica"/>
        <family val="2"/>
        <scheme val="minor"/>
      </rPr>
      <t>CP-8</t>
    </r>
  </si>
  <si>
    <r>
      <rPr>
        <sz val="10"/>
        <color rgb="FF231F20"/>
        <rFont val="Helvetica"/>
        <family val="2"/>
        <scheme val="minor"/>
      </rPr>
      <t>Telecommunications Services</t>
    </r>
  </si>
  <si>
    <r>
      <rPr>
        <sz val="10"/>
        <color rgb="FF231F20"/>
        <rFont val="Helvetica"/>
        <family val="2"/>
        <scheme val="minor"/>
      </rPr>
      <t>CP-9</t>
    </r>
  </si>
  <si>
    <r>
      <rPr>
        <sz val="10"/>
        <color rgb="FF231F20"/>
        <rFont val="Helvetica"/>
        <family val="2"/>
        <scheme val="minor"/>
      </rPr>
      <t>Information System Backup</t>
    </r>
  </si>
  <si>
    <r>
      <rPr>
        <sz val="10"/>
        <color rgb="FF231F20"/>
        <rFont val="Helvetica"/>
        <family val="2"/>
        <scheme val="minor"/>
      </rPr>
      <t>CP-10</t>
    </r>
  </si>
  <si>
    <t>Information System Recovery and Reconstitution</t>
  </si>
  <si>
    <r>
      <rPr>
        <sz val="10"/>
        <color rgb="FF231F20"/>
        <rFont val="Helvetica"/>
        <family val="2"/>
        <scheme val="minor"/>
      </rPr>
      <t>CP-11</t>
    </r>
  </si>
  <si>
    <r>
      <rPr>
        <sz val="10"/>
        <color rgb="FF231F20"/>
        <rFont val="Helvetica"/>
        <family val="2"/>
        <scheme val="minor"/>
      </rPr>
      <t>Alternate Communications Protocols</t>
    </r>
  </si>
  <si>
    <r>
      <rPr>
        <sz val="10"/>
        <color rgb="FF231F20"/>
        <rFont val="Helvetica"/>
        <family val="2"/>
        <scheme val="minor"/>
      </rPr>
      <t>CP-12</t>
    </r>
  </si>
  <si>
    <r>
      <rPr>
        <sz val="10"/>
        <color rgb="FF231F20"/>
        <rFont val="Helvetica"/>
        <family val="2"/>
        <scheme val="minor"/>
      </rPr>
      <t>Safe Mode</t>
    </r>
  </si>
  <si>
    <r>
      <rPr>
        <sz val="10"/>
        <color rgb="FF231F20"/>
        <rFont val="Helvetica"/>
        <family val="2"/>
        <scheme val="minor"/>
      </rPr>
      <t>CP-13</t>
    </r>
  </si>
  <si>
    <r>
      <rPr>
        <sz val="10"/>
        <color rgb="FF231F20"/>
        <rFont val="Helvetica"/>
        <family val="2"/>
        <scheme val="minor"/>
      </rPr>
      <t>Alternative Security Mechanisms</t>
    </r>
  </si>
  <si>
    <r>
      <rPr>
        <sz val="10"/>
        <color rgb="FF231F20"/>
        <rFont val="Helvetica"/>
        <family val="2"/>
        <scheme val="minor"/>
      </rPr>
      <t>IA-1</t>
    </r>
  </si>
  <si>
    <t>Identification and Authentication Policy and Procedures</t>
  </si>
  <si>
    <r>
      <rPr>
        <sz val="10"/>
        <color rgb="FF231F20"/>
        <rFont val="Helvetica"/>
        <family val="2"/>
        <scheme val="minor"/>
      </rPr>
      <t>IA-2</t>
    </r>
  </si>
  <si>
    <t>Identification and Authentication (Organizational Users)</t>
  </si>
  <si>
    <r>
      <rPr>
        <sz val="10"/>
        <color rgb="FF231F20"/>
        <rFont val="Helvetica"/>
        <family val="2"/>
        <scheme val="minor"/>
      </rPr>
      <t>IA-3</t>
    </r>
  </si>
  <si>
    <r>
      <rPr>
        <sz val="10"/>
        <color rgb="FF231F20"/>
        <rFont val="Helvetica"/>
        <family val="2"/>
        <scheme val="minor"/>
      </rPr>
      <t>Device Identification and Authentication</t>
    </r>
  </si>
  <si>
    <r>
      <rPr>
        <sz val="10"/>
        <color rgb="FF231F20"/>
        <rFont val="Helvetica"/>
        <family val="2"/>
        <scheme val="minor"/>
      </rPr>
      <t>IA-4</t>
    </r>
  </si>
  <si>
    <r>
      <rPr>
        <sz val="10"/>
        <color rgb="FF231F20"/>
        <rFont val="Helvetica"/>
        <family val="2"/>
        <scheme val="minor"/>
      </rPr>
      <t>Identifier Management</t>
    </r>
  </si>
  <si>
    <r>
      <rPr>
        <sz val="10"/>
        <color rgb="FF231F20"/>
        <rFont val="Helvetica"/>
        <family val="2"/>
        <scheme val="minor"/>
      </rPr>
      <t>IA-5</t>
    </r>
  </si>
  <si>
    <r>
      <rPr>
        <sz val="10"/>
        <color rgb="FF231F20"/>
        <rFont val="Helvetica"/>
        <family val="2"/>
        <scheme val="minor"/>
      </rPr>
      <t>Authenticator Management</t>
    </r>
  </si>
  <si>
    <t>IA-5(1)</t>
  </si>
  <si>
    <t>Password -Based Authentication: Enforces minimum complexity</t>
  </si>
  <si>
    <r>
      <rPr>
        <sz val="10"/>
        <color rgb="FF231F20"/>
        <rFont val="Helvetica"/>
        <family val="2"/>
        <scheme val="minor"/>
      </rPr>
      <t>IA-6</t>
    </r>
  </si>
  <si>
    <r>
      <rPr>
        <sz val="10"/>
        <color rgb="FF231F20"/>
        <rFont val="Helvetica"/>
        <family val="2"/>
        <scheme val="minor"/>
      </rPr>
      <t>Authenticator Feedback</t>
    </r>
  </si>
  <si>
    <r>
      <rPr>
        <sz val="10"/>
        <color rgb="FF231F20"/>
        <rFont val="Helvetica"/>
        <family val="2"/>
        <scheme val="minor"/>
      </rPr>
      <t>IA-7</t>
    </r>
  </si>
  <si>
    <r>
      <rPr>
        <sz val="10"/>
        <color rgb="FF231F20"/>
        <rFont val="Helvetica"/>
        <family val="2"/>
        <scheme val="minor"/>
      </rPr>
      <t>Cryptographic Module Authentication</t>
    </r>
  </si>
  <si>
    <r>
      <rPr>
        <sz val="10"/>
        <color rgb="FF231F20"/>
        <rFont val="Helvetica"/>
        <family val="2"/>
        <scheme val="minor"/>
      </rPr>
      <t>IA-8</t>
    </r>
  </si>
  <si>
    <r>
      <rPr>
        <sz val="10"/>
        <color rgb="FF231F20"/>
        <rFont val="Helvetica"/>
        <family val="2"/>
        <scheme val="minor"/>
      </rPr>
      <t>Identification and Authentication (Non- Organizational Users)</t>
    </r>
  </si>
  <si>
    <r>
      <rPr>
        <sz val="10"/>
        <color rgb="FF231F20"/>
        <rFont val="Helvetica"/>
        <family val="2"/>
        <scheme val="minor"/>
      </rPr>
      <t>IA-9</t>
    </r>
  </si>
  <si>
    <r>
      <rPr>
        <sz val="10"/>
        <color rgb="FF231F20"/>
        <rFont val="Helvetica"/>
        <family val="2"/>
        <scheme val="minor"/>
      </rPr>
      <t>Service Identification and Authentication</t>
    </r>
  </si>
  <si>
    <r>
      <rPr>
        <sz val="10"/>
        <color rgb="FF231F20"/>
        <rFont val="Helvetica"/>
        <family val="2"/>
        <scheme val="minor"/>
      </rPr>
      <t>IA-10</t>
    </r>
  </si>
  <si>
    <r>
      <rPr>
        <sz val="10"/>
        <color rgb="FF231F20"/>
        <rFont val="Helvetica"/>
        <family val="2"/>
        <scheme val="minor"/>
      </rPr>
      <t>Adaptive Identification and Authentication</t>
    </r>
  </si>
  <si>
    <r>
      <rPr>
        <sz val="10"/>
        <color rgb="FF231F20"/>
        <rFont val="Helvetica"/>
        <family val="2"/>
        <scheme val="minor"/>
      </rPr>
      <t>IA-11</t>
    </r>
  </si>
  <si>
    <r>
      <rPr>
        <sz val="10"/>
        <color rgb="FF231F20"/>
        <rFont val="Helvetica"/>
        <family val="2"/>
        <scheme val="minor"/>
      </rPr>
      <t>Re-authentication</t>
    </r>
  </si>
  <si>
    <r>
      <rPr>
        <sz val="10"/>
        <color rgb="FF231F20"/>
        <rFont val="Helvetica"/>
        <family val="2"/>
        <scheme val="minor"/>
      </rPr>
      <t>IR-1</t>
    </r>
  </si>
  <si>
    <r>
      <rPr>
        <sz val="10"/>
        <color rgb="FF231F20"/>
        <rFont val="Helvetica"/>
        <family val="2"/>
        <scheme val="minor"/>
      </rPr>
      <t>Incident Response Policy and Procedures</t>
    </r>
  </si>
  <si>
    <r>
      <rPr>
        <sz val="10"/>
        <color rgb="FF231F20"/>
        <rFont val="Helvetica"/>
        <family val="2"/>
        <scheme val="minor"/>
      </rPr>
      <t>IR-2</t>
    </r>
  </si>
  <si>
    <r>
      <rPr>
        <sz val="10"/>
        <color rgb="FF231F20"/>
        <rFont val="Helvetica"/>
        <family val="2"/>
        <scheme val="minor"/>
      </rPr>
      <t>Incident Response Training</t>
    </r>
  </si>
  <si>
    <r>
      <rPr>
        <sz val="10"/>
        <color rgb="FF231F20"/>
        <rFont val="Helvetica"/>
        <family val="2"/>
        <scheme val="minor"/>
      </rPr>
      <t>IR-3</t>
    </r>
  </si>
  <si>
    <r>
      <rPr>
        <sz val="10"/>
        <color rgb="FF231F20"/>
        <rFont val="Helvetica"/>
        <family val="2"/>
        <scheme val="minor"/>
      </rPr>
      <t>Incident Response Testing</t>
    </r>
  </si>
  <si>
    <r>
      <rPr>
        <sz val="10"/>
        <color rgb="FF231F20"/>
        <rFont val="Helvetica"/>
        <family val="2"/>
        <scheme val="minor"/>
      </rPr>
      <t>IR-4</t>
    </r>
  </si>
  <si>
    <r>
      <rPr>
        <sz val="10"/>
        <color rgb="FF231F20"/>
        <rFont val="Helvetica"/>
        <family val="2"/>
        <scheme val="minor"/>
      </rPr>
      <t>Incident Handling</t>
    </r>
  </si>
  <si>
    <r>
      <rPr>
        <sz val="10"/>
        <color rgb="FF231F20"/>
        <rFont val="Helvetica"/>
        <family val="2"/>
        <scheme val="minor"/>
      </rPr>
      <t>IR-5</t>
    </r>
  </si>
  <si>
    <r>
      <rPr>
        <sz val="10"/>
        <color rgb="FF231F20"/>
        <rFont val="Helvetica"/>
        <family val="2"/>
        <scheme val="minor"/>
      </rPr>
      <t>Incident Monitoring</t>
    </r>
  </si>
  <si>
    <r>
      <rPr>
        <sz val="10"/>
        <color rgb="FF231F20"/>
        <rFont val="Helvetica"/>
        <family val="2"/>
        <scheme val="minor"/>
      </rPr>
      <t>IR-6</t>
    </r>
  </si>
  <si>
    <r>
      <rPr>
        <sz val="10"/>
        <color rgb="FF231F20"/>
        <rFont val="Helvetica"/>
        <family val="2"/>
        <scheme val="minor"/>
      </rPr>
      <t>Incident Reporting</t>
    </r>
  </si>
  <si>
    <r>
      <rPr>
        <sz val="10"/>
        <color rgb="FF231F20"/>
        <rFont val="Helvetica"/>
        <family val="2"/>
        <scheme val="minor"/>
      </rPr>
      <t>IR-7</t>
    </r>
  </si>
  <si>
    <r>
      <rPr>
        <sz val="10"/>
        <color rgb="FF231F20"/>
        <rFont val="Helvetica"/>
        <family val="2"/>
        <scheme val="minor"/>
      </rPr>
      <t>Incident Response Assistance</t>
    </r>
  </si>
  <si>
    <r>
      <rPr>
        <sz val="10"/>
        <color rgb="FF231F20"/>
        <rFont val="Helvetica"/>
        <family val="2"/>
        <scheme val="minor"/>
      </rPr>
      <t>IR-8</t>
    </r>
  </si>
  <si>
    <r>
      <rPr>
        <sz val="10"/>
        <color rgb="FF231F20"/>
        <rFont val="Helvetica"/>
        <family val="2"/>
        <scheme val="minor"/>
      </rPr>
      <t>Incident Response Plan</t>
    </r>
  </si>
  <si>
    <r>
      <rPr>
        <sz val="10"/>
        <color rgb="FF231F20"/>
        <rFont val="Helvetica"/>
        <family val="2"/>
        <scheme val="minor"/>
      </rPr>
      <t>IR-9</t>
    </r>
  </si>
  <si>
    <r>
      <rPr>
        <sz val="10"/>
        <color rgb="FF231F20"/>
        <rFont val="Helvetica"/>
        <family val="2"/>
        <scheme val="minor"/>
      </rPr>
      <t>Information Spillage Response</t>
    </r>
  </si>
  <si>
    <r>
      <rPr>
        <sz val="10"/>
        <color rgb="FF231F20"/>
        <rFont val="Helvetica"/>
        <family val="2"/>
        <scheme val="minor"/>
      </rPr>
      <t>IR-10</t>
    </r>
  </si>
  <si>
    <t>Integrated Information Security Analysis Team</t>
  </si>
  <si>
    <r>
      <rPr>
        <sz val="10"/>
        <color rgb="FF231F20"/>
        <rFont val="Helvetica"/>
        <family val="2"/>
        <scheme val="minor"/>
      </rPr>
      <t>MA-1</t>
    </r>
  </si>
  <si>
    <r>
      <rPr>
        <sz val="10"/>
        <color rgb="FF231F20"/>
        <rFont val="Helvetica"/>
        <family val="2"/>
        <scheme val="minor"/>
      </rPr>
      <t>System Maintenance Policy and Procedures</t>
    </r>
  </si>
  <si>
    <r>
      <rPr>
        <sz val="10"/>
        <color rgb="FF231F20"/>
        <rFont val="Helvetica"/>
        <family val="2"/>
        <scheme val="minor"/>
      </rPr>
      <t>MA-2</t>
    </r>
  </si>
  <si>
    <r>
      <rPr>
        <sz val="10"/>
        <color rgb="FF231F20"/>
        <rFont val="Helvetica"/>
        <family val="2"/>
        <scheme val="minor"/>
      </rPr>
      <t>Controlled Maintenance</t>
    </r>
  </si>
  <si>
    <r>
      <rPr>
        <sz val="10"/>
        <color rgb="FF231F20"/>
        <rFont val="Helvetica"/>
        <family val="2"/>
        <scheme val="minor"/>
      </rPr>
      <t>MA-3</t>
    </r>
  </si>
  <si>
    <r>
      <rPr>
        <sz val="10"/>
        <color rgb="FF231F20"/>
        <rFont val="Helvetica"/>
        <family val="2"/>
        <scheme val="minor"/>
      </rPr>
      <t>Maintenance Tools</t>
    </r>
  </si>
  <si>
    <r>
      <rPr>
        <sz val="10"/>
        <color rgb="FF231F20"/>
        <rFont val="Helvetica"/>
        <family val="2"/>
        <scheme val="minor"/>
      </rPr>
      <t>MA-4</t>
    </r>
  </si>
  <si>
    <r>
      <rPr>
        <sz val="10"/>
        <color rgb="FF231F20"/>
        <rFont val="Helvetica"/>
        <family val="2"/>
        <scheme val="minor"/>
      </rPr>
      <t>Nonlocal Maintenance</t>
    </r>
  </si>
  <si>
    <r>
      <rPr>
        <sz val="10"/>
        <color rgb="FF231F20"/>
        <rFont val="Helvetica"/>
        <family val="2"/>
        <scheme val="minor"/>
      </rPr>
      <t>MA-5</t>
    </r>
  </si>
  <si>
    <r>
      <rPr>
        <sz val="10"/>
        <color rgb="FF231F20"/>
        <rFont val="Helvetica"/>
        <family val="2"/>
        <scheme val="minor"/>
      </rPr>
      <t>Maintenance Personnel</t>
    </r>
  </si>
  <si>
    <r>
      <rPr>
        <sz val="10"/>
        <color rgb="FF231F20"/>
        <rFont val="Helvetica"/>
        <family val="2"/>
        <scheme val="minor"/>
      </rPr>
      <t>MA-6</t>
    </r>
  </si>
  <si>
    <r>
      <rPr>
        <sz val="10"/>
        <color rgb="FF231F20"/>
        <rFont val="Helvetica"/>
        <family val="2"/>
        <scheme val="minor"/>
      </rPr>
      <t>Timely Maintenance</t>
    </r>
  </si>
  <si>
    <r>
      <rPr>
        <sz val="10"/>
        <color rgb="FF231F20"/>
        <rFont val="Helvetica"/>
        <family val="2"/>
        <scheme val="minor"/>
      </rPr>
      <t>MP-1</t>
    </r>
  </si>
  <si>
    <r>
      <rPr>
        <sz val="10"/>
        <color rgb="FF231F20"/>
        <rFont val="Helvetica"/>
        <family val="2"/>
        <scheme val="minor"/>
      </rPr>
      <t>Media Protection Policy and Procedures</t>
    </r>
  </si>
  <si>
    <r>
      <rPr>
        <sz val="10"/>
        <color rgb="FF231F20"/>
        <rFont val="Helvetica"/>
        <family val="2"/>
        <scheme val="minor"/>
      </rPr>
      <t>MP-2</t>
    </r>
  </si>
  <si>
    <r>
      <rPr>
        <sz val="10"/>
        <color rgb="FF231F20"/>
        <rFont val="Helvetica"/>
        <family val="2"/>
        <scheme val="minor"/>
      </rPr>
      <t>Media Access</t>
    </r>
  </si>
  <si>
    <r>
      <rPr>
        <sz val="10"/>
        <color rgb="FF231F20"/>
        <rFont val="Helvetica"/>
        <family val="2"/>
        <scheme val="minor"/>
      </rPr>
      <t>MP-3</t>
    </r>
  </si>
  <si>
    <r>
      <rPr>
        <sz val="10"/>
        <color rgb="FF231F20"/>
        <rFont val="Helvetica"/>
        <family val="2"/>
        <scheme val="minor"/>
      </rPr>
      <t>Media Marking</t>
    </r>
  </si>
  <si>
    <r>
      <rPr>
        <sz val="10"/>
        <color rgb="FF231F20"/>
        <rFont val="Helvetica"/>
        <family val="2"/>
        <scheme val="minor"/>
      </rPr>
      <t>MP-4</t>
    </r>
  </si>
  <si>
    <r>
      <rPr>
        <sz val="10"/>
        <color rgb="FF231F20"/>
        <rFont val="Helvetica"/>
        <family val="2"/>
        <scheme val="minor"/>
      </rPr>
      <t>Media Storage</t>
    </r>
  </si>
  <si>
    <r>
      <rPr>
        <sz val="10"/>
        <color rgb="FF231F20"/>
        <rFont val="Helvetica"/>
        <family val="2"/>
        <scheme val="minor"/>
      </rPr>
      <t>MP-5</t>
    </r>
  </si>
  <si>
    <r>
      <rPr>
        <sz val="10"/>
        <color rgb="FF231F20"/>
        <rFont val="Helvetica"/>
        <family val="2"/>
        <scheme val="minor"/>
      </rPr>
      <t>Media Transport</t>
    </r>
  </si>
  <si>
    <r>
      <rPr>
        <sz val="10"/>
        <color rgb="FF231F20"/>
        <rFont val="Helvetica"/>
        <family val="2"/>
        <scheme val="minor"/>
      </rPr>
      <t>MP-6</t>
    </r>
  </si>
  <si>
    <r>
      <rPr>
        <sz val="10"/>
        <color rgb="FF231F20"/>
        <rFont val="Helvetica"/>
        <family val="2"/>
        <scheme val="minor"/>
      </rPr>
      <t>Media Sanitization</t>
    </r>
  </si>
  <si>
    <r>
      <rPr>
        <sz val="10"/>
        <color rgb="FF231F20"/>
        <rFont val="Helvetica"/>
        <family val="2"/>
        <scheme val="minor"/>
      </rPr>
      <t>MP-7</t>
    </r>
  </si>
  <si>
    <r>
      <rPr>
        <sz val="10"/>
        <color rgb="FF231F20"/>
        <rFont val="Helvetica"/>
        <family val="2"/>
        <scheme val="minor"/>
      </rPr>
      <t>Media Use</t>
    </r>
  </si>
  <si>
    <r>
      <rPr>
        <sz val="10"/>
        <color rgb="FF231F20"/>
        <rFont val="Helvetica"/>
        <family val="2"/>
        <scheme val="minor"/>
      </rPr>
      <t>MP-8</t>
    </r>
  </si>
  <si>
    <r>
      <rPr>
        <sz val="10"/>
        <color rgb="FF231F20"/>
        <rFont val="Helvetica"/>
        <family val="2"/>
        <scheme val="minor"/>
      </rPr>
      <t>Media Downgrading</t>
    </r>
  </si>
  <si>
    <r>
      <rPr>
        <sz val="10"/>
        <color rgb="FF231F20"/>
        <rFont val="Helvetica"/>
        <family val="2"/>
        <scheme val="minor"/>
      </rPr>
      <t>PE-1</t>
    </r>
  </si>
  <si>
    <t>Physical and Environmental Protection Policy and Procedures</t>
  </si>
  <si>
    <r>
      <rPr>
        <sz val="10"/>
        <color rgb="FF231F20"/>
        <rFont val="Helvetica"/>
        <family val="2"/>
        <scheme val="minor"/>
      </rPr>
      <t>PE-2</t>
    </r>
  </si>
  <si>
    <r>
      <rPr>
        <sz val="10"/>
        <color rgb="FF231F20"/>
        <rFont val="Helvetica"/>
        <family val="2"/>
        <scheme val="minor"/>
      </rPr>
      <t>Physical Access Authorizations</t>
    </r>
  </si>
  <si>
    <r>
      <rPr>
        <sz val="10"/>
        <color rgb="FF231F20"/>
        <rFont val="Helvetica"/>
        <family val="2"/>
        <scheme val="minor"/>
      </rPr>
      <t>PE-3</t>
    </r>
  </si>
  <si>
    <r>
      <rPr>
        <sz val="10"/>
        <color rgb="FF231F20"/>
        <rFont val="Helvetica"/>
        <family val="2"/>
        <scheme val="minor"/>
      </rPr>
      <t>Physical Access Control</t>
    </r>
  </si>
  <si>
    <r>
      <rPr>
        <sz val="10"/>
        <color rgb="FF231F20"/>
        <rFont val="Helvetica"/>
        <family val="2"/>
        <scheme val="minor"/>
      </rPr>
      <t>PE-4</t>
    </r>
  </si>
  <si>
    <r>
      <rPr>
        <sz val="10"/>
        <color rgb="FF231F20"/>
        <rFont val="Helvetica"/>
        <family val="2"/>
        <scheme val="minor"/>
      </rPr>
      <t>Access Control for Transmission Medium</t>
    </r>
  </si>
  <si>
    <r>
      <rPr>
        <sz val="10"/>
        <color rgb="FF231F20"/>
        <rFont val="Helvetica"/>
        <family val="2"/>
        <scheme val="minor"/>
      </rPr>
      <t>PE-5</t>
    </r>
  </si>
  <si>
    <r>
      <rPr>
        <sz val="10"/>
        <color rgb="FF231F20"/>
        <rFont val="Helvetica"/>
        <family val="2"/>
        <scheme val="minor"/>
      </rPr>
      <t>Access Control for Output Devices</t>
    </r>
  </si>
  <si>
    <r>
      <rPr>
        <sz val="10"/>
        <color rgb="FF231F20"/>
        <rFont val="Helvetica"/>
        <family val="2"/>
        <scheme val="minor"/>
      </rPr>
      <t>PE-6</t>
    </r>
  </si>
  <si>
    <r>
      <rPr>
        <sz val="10"/>
        <color rgb="FF231F20"/>
        <rFont val="Helvetica"/>
        <family val="2"/>
        <scheme val="minor"/>
      </rPr>
      <t>Monitoring Physical Access</t>
    </r>
  </si>
  <si>
    <r>
      <rPr>
        <sz val="10"/>
        <color rgb="FF231F20"/>
        <rFont val="Helvetica"/>
        <family val="2"/>
        <scheme val="minor"/>
      </rPr>
      <t>PE-7</t>
    </r>
  </si>
  <si>
    <r>
      <rPr>
        <sz val="10"/>
        <color rgb="FF231F20"/>
        <rFont val="Helvetica"/>
        <family val="2"/>
        <scheme val="minor"/>
      </rPr>
      <t>PE-8</t>
    </r>
  </si>
  <si>
    <r>
      <rPr>
        <sz val="10"/>
        <color rgb="FF231F20"/>
        <rFont val="Helvetica"/>
        <family val="2"/>
        <scheme val="minor"/>
      </rPr>
      <t>Visitor Access Records</t>
    </r>
  </si>
  <si>
    <r>
      <rPr>
        <sz val="10"/>
        <color rgb="FF231F20"/>
        <rFont val="Helvetica"/>
        <family val="2"/>
        <scheme val="minor"/>
      </rPr>
      <t>PE-9</t>
    </r>
  </si>
  <si>
    <r>
      <rPr>
        <sz val="10"/>
        <color rgb="FF231F20"/>
        <rFont val="Helvetica"/>
        <family val="2"/>
        <scheme val="minor"/>
      </rPr>
      <t>Power Equipment and Cabling</t>
    </r>
  </si>
  <si>
    <r>
      <rPr>
        <sz val="10"/>
        <color rgb="FF231F20"/>
        <rFont val="Helvetica"/>
        <family val="2"/>
        <scheme val="minor"/>
      </rPr>
      <t>PE-10</t>
    </r>
  </si>
  <si>
    <r>
      <rPr>
        <sz val="10"/>
        <color rgb="FF231F20"/>
        <rFont val="Helvetica"/>
        <family val="2"/>
        <scheme val="minor"/>
      </rPr>
      <t>Emergency Shutoff</t>
    </r>
  </si>
  <si>
    <r>
      <rPr>
        <sz val="10"/>
        <color rgb="FF231F20"/>
        <rFont val="Helvetica"/>
        <family val="2"/>
        <scheme val="minor"/>
      </rPr>
      <t>PE-11</t>
    </r>
  </si>
  <si>
    <r>
      <rPr>
        <sz val="10"/>
        <color rgb="FF231F20"/>
        <rFont val="Helvetica"/>
        <family val="2"/>
        <scheme val="minor"/>
      </rPr>
      <t>Emergency Power</t>
    </r>
  </si>
  <si>
    <r>
      <rPr>
        <sz val="10"/>
        <color rgb="FF231F20"/>
        <rFont val="Helvetica"/>
        <family val="2"/>
        <scheme val="minor"/>
      </rPr>
      <t>PE-12</t>
    </r>
  </si>
  <si>
    <r>
      <rPr>
        <sz val="10"/>
        <color rgb="FF231F20"/>
        <rFont val="Helvetica"/>
        <family val="2"/>
        <scheme val="minor"/>
      </rPr>
      <t>Emergency Lighting</t>
    </r>
  </si>
  <si>
    <r>
      <rPr>
        <sz val="10"/>
        <color rgb="FF231F20"/>
        <rFont val="Helvetica"/>
        <family val="2"/>
        <scheme val="minor"/>
      </rPr>
      <t>PE-13</t>
    </r>
  </si>
  <si>
    <r>
      <rPr>
        <sz val="10"/>
        <color rgb="FF231F20"/>
        <rFont val="Helvetica"/>
        <family val="2"/>
        <scheme val="minor"/>
      </rPr>
      <t>Fire Protection</t>
    </r>
  </si>
  <si>
    <r>
      <rPr>
        <sz val="10"/>
        <color rgb="FF231F20"/>
        <rFont val="Helvetica"/>
        <family val="2"/>
        <scheme val="minor"/>
      </rPr>
      <t>PE-14</t>
    </r>
  </si>
  <si>
    <r>
      <rPr>
        <sz val="10"/>
        <color rgb="FF231F20"/>
        <rFont val="Helvetica"/>
        <family val="2"/>
        <scheme val="minor"/>
      </rPr>
      <t>Temperature and Humidity Controls</t>
    </r>
  </si>
  <si>
    <r>
      <rPr>
        <sz val="10"/>
        <color rgb="FF231F20"/>
        <rFont val="Helvetica"/>
        <family val="2"/>
        <scheme val="minor"/>
      </rPr>
      <t>PE-15</t>
    </r>
  </si>
  <si>
    <r>
      <rPr>
        <sz val="10"/>
        <color rgb="FF231F20"/>
        <rFont val="Helvetica"/>
        <family val="2"/>
        <scheme val="minor"/>
      </rPr>
      <t>Water Damage Protection</t>
    </r>
  </si>
  <si>
    <r>
      <rPr>
        <sz val="10"/>
        <color rgb="FF231F20"/>
        <rFont val="Helvetica"/>
        <family val="2"/>
        <scheme val="minor"/>
      </rPr>
      <t>PE-16</t>
    </r>
  </si>
  <si>
    <r>
      <rPr>
        <sz val="10"/>
        <color rgb="FF231F20"/>
        <rFont val="Helvetica"/>
        <family val="2"/>
        <scheme val="minor"/>
      </rPr>
      <t>Delivery and Removal</t>
    </r>
  </si>
  <si>
    <r>
      <rPr>
        <sz val="10"/>
        <color rgb="FF231F20"/>
        <rFont val="Helvetica"/>
        <family val="2"/>
        <scheme val="minor"/>
      </rPr>
      <t>PE-17</t>
    </r>
  </si>
  <si>
    <r>
      <rPr>
        <sz val="10"/>
        <color rgb="FF231F20"/>
        <rFont val="Helvetica"/>
        <family val="2"/>
        <scheme val="minor"/>
      </rPr>
      <t>Alternate Work Site</t>
    </r>
  </si>
  <si>
    <r>
      <rPr>
        <sz val="10"/>
        <color rgb="FF231F20"/>
        <rFont val="Helvetica"/>
        <family val="2"/>
        <scheme val="minor"/>
      </rPr>
      <t>PE-18</t>
    </r>
  </si>
  <si>
    <r>
      <rPr>
        <sz val="10"/>
        <color rgb="FF231F20"/>
        <rFont val="Helvetica"/>
        <family val="2"/>
        <scheme val="minor"/>
      </rPr>
      <t>Location of Information System Components</t>
    </r>
  </si>
  <si>
    <r>
      <rPr>
        <sz val="10"/>
        <color rgb="FF231F20"/>
        <rFont val="Helvetica"/>
        <family val="2"/>
        <scheme val="minor"/>
      </rPr>
      <t>PE-19</t>
    </r>
  </si>
  <si>
    <r>
      <rPr>
        <sz val="10"/>
        <color rgb="FF231F20"/>
        <rFont val="Helvetica"/>
        <family val="2"/>
        <scheme val="minor"/>
      </rPr>
      <t>Information Leakage</t>
    </r>
  </si>
  <si>
    <r>
      <rPr>
        <sz val="10"/>
        <color rgb="FF231F20"/>
        <rFont val="Helvetica"/>
        <family val="2"/>
        <scheme val="minor"/>
      </rPr>
      <t>PE-20</t>
    </r>
  </si>
  <si>
    <r>
      <rPr>
        <sz val="10"/>
        <color rgb="FF231F20"/>
        <rFont val="Helvetica"/>
        <family val="2"/>
        <scheme val="minor"/>
      </rPr>
      <t>Asset Monitoring and Tracking</t>
    </r>
  </si>
  <si>
    <r>
      <rPr>
        <sz val="10"/>
        <color rgb="FF231F20"/>
        <rFont val="Helvetica"/>
        <family val="2"/>
        <scheme val="minor"/>
      </rPr>
      <t>PL-1</t>
    </r>
  </si>
  <si>
    <r>
      <rPr>
        <sz val="10"/>
        <color rgb="FF231F20"/>
        <rFont val="Helvetica"/>
        <family val="2"/>
        <scheme val="minor"/>
      </rPr>
      <t>Security Planning Policy and Procedures</t>
    </r>
  </si>
  <si>
    <r>
      <rPr>
        <sz val="10"/>
        <color rgb="FF231F20"/>
        <rFont val="Helvetica"/>
        <family val="2"/>
        <scheme val="minor"/>
      </rPr>
      <t>PL-2</t>
    </r>
  </si>
  <si>
    <r>
      <rPr>
        <sz val="10"/>
        <color rgb="FF231F20"/>
        <rFont val="Helvetica"/>
        <family val="2"/>
        <scheme val="minor"/>
      </rPr>
      <t>System Security Plan</t>
    </r>
  </si>
  <si>
    <r>
      <rPr>
        <sz val="10"/>
        <color rgb="FF231F20"/>
        <rFont val="Helvetica"/>
        <family val="2"/>
        <scheme val="minor"/>
      </rPr>
      <t>PL-3</t>
    </r>
  </si>
  <si>
    <r>
      <rPr>
        <sz val="10"/>
        <color rgb="FF231F20"/>
        <rFont val="Helvetica"/>
        <family val="2"/>
        <scheme val="minor"/>
      </rPr>
      <t>PL-4</t>
    </r>
  </si>
  <si>
    <r>
      <rPr>
        <sz val="10"/>
        <color rgb="FF231F20"/>
        <rFont val="Helvetica"/>
        <family val="2"/>
        <scheme val="minor"/>
      </rPr>
      <t>Rules of Behavior</t>
    </r>
  </si>
  <si>
    <r>
      <rPr>
        <sz val="10"/>
        <color rgb="FF231F20"/>
        <rFont val="Helvetica"/>
        <family val="2"/>
        <scheme val="minor"/>
      </rPr>
      <t>PL-5</t>
    </r>
  </si>
  <si>
    <r>
      <rPr>
        <sz val="10"/>
        <color rgb="FF231F20"/>
        <rFont val="Helvetica"/>
        <family val="2"/>
        <scheme val="minor"/>
      </rPr>
      <t>PL-6</t>
    </r>
  </si>
  <si>
    <r>
      <rPr>
        <sz val="10"/>
        <color rgb="FF231F20"/>
        <rFont val="Helvetica"/>
        <family val="2"/>
        <scheme val="minor"/>
      </rPr>
      <t>PL-7</t>
    </r>
  </si>
  <si>
    <r>
      <rPr>
        <sz val="10"/>
        <color rgb="FF231F20"/>
        <rFont val="Helvetica"/>
        <family val="2"/>
        <scheme val="minor"/>
      </rPr>
      <t>Security Concept of Operations</t>
    </r>
  </si>
  <si>
    <r>
      <rPr>
        <sz val="10"/>
        <color rgb="FF231F20"/>
        <rFont val="Helvetica"/>
        <family val="2"/>
        <scheme val="minor"/>
      </rPr>
      <t>PL-8</t>
    </r>
  </si>
  <si>
    <r>
      <rPr>
        <sz val="10"/>
        <color rgb="FF231F20"/>
        <rFont val="Helvetica"/>
        <family val="2"/>
        <scheme val="minor"/>
      </rPr>
      <t>Information Security Architecture</t>
    </r>
  </si>
  <si>
    <r>
      <rPr>
        <sz val="10"/>
        <color rgb="FF231F20"/>
        <rFont val="Helvetica"/>
        <family val="2"/>
        <scheme val="minor"/>
      </rPr>
      <t>PL-9</t>
    </r>
  </si>
  <si>
    <r>
      <rPr>
        <sz val="10"/>
        <color rgb="FF231F20"/>
        <rFont val="Helvetica"/>
        <family val="2"/>
        <scheme val="minor"/>
      </rPr>
      <t>Central Management</t>
    </r>
  </si>
  <si>
    <r>
      <rPr>
        <sz val="10"/>
        <color rgb="FF231F20"/>
        <rFont val="Helvetica"/>
        <family val="2"/>
        <scheme val="minor"/>
      </rPr>
      <t>PS-1</t>
    </r>
  </si>
  <si>
    <r>
      <rPr>
        <sz val="10"/>
        <color rgb="FF231F20"/>
        <rFont val="Helvetica"/>
        <family val="2"/>
        <scheme val="minor"/>
      </rPr>
      <t>Personnel Security Policy and Procedures</t>
    </r>
  </si>
  <si>
    <r>
      <rPr>
        <sz val="10"/>
        <color rgb="FF231F20"/>
        <rFont val="Helvetica"/>
        <family val="2"/>
        <scheme val="minor"/>
      </rPr>
      <t>PS-2</t>
    </r>
  </si>
  <si>
    <r>
      <rPr>
        <sz val="10"/>
        <color rgb="FF231F20"/>
        <rFont val="Helvetica"/>
        <family val="2"/>
        <scheme val="minor"/>
      </rPr>
      <t>Position Risk Designation</t>
    </r>
  </si>
  <si>
    <r>
      <rPr>
        <sz val="10"/>
        <color rgb="FF231F20"/>
        <rFont val="Helvetica"/>
        <family val="2"/>
        <scheme val="minor"/>
      </rPr>
      <t>PS-3</t>
    </r>
  </si>
  <si>
    <r>
      <rPr>
        <sz val="10"/>
        <color rgb="FF231F20"/>
        <rFont val="Helvetica"/>
        <family val="2"/>
        <scheme val="minor"/>
      </rPr>
      <t>Personnel Screening</t>
    </r>
  </si>
  <si>
    <r>
      <rPr>
        <sz val="10"/>
        <color rgb="FF231F20"/>
        <rFont val="Helvetica"/>
        <family val="2"/>
        <scheme val="minor"/>
      </rPr>
      <t>PS-4</t>
    </r>
  </si>
  <si>
    <r>
      <rPr>
        <sz val="10"/>
        <color rgb="FF231F20"/>
        <rFont val="Helvetica"/>
        <family val="2"/>
        <scheme val="minor"/>
      </rPr>
      <t>Personnel Termination</t>
    </r>
  </si>
  <si>
    <r>
      <rPr>
        <sz val="10"/>
        <color rgb="FF231F20"/>
        <rFont val="Helvetica"/>
        <family val="2"/>
        <scheme val="minor"/>
      </rPr>
      <t>PS-5</t>
    </r>
  </si>
  <si>
    <r>
      <rPr>
        <sz val="10"/>
        <color rgb="FF231F20"/>
        <rFont val="Helvetica"/>
        <family val="2"/>
        <scheme val="minor"/>
      </rPr>
      <t>Personnel Transfer</t>
    </r>
  </si>
  <si>
    <r>
      <rPr>
        <sz val="10"/>
        <color rgb="FF231F20"/>
        <rFont val="Helvetica"/>
        <family val="2"/>
        <scheme val="minor"/>
      </rPr>
      <t>PS-6</t>
    </r>
  </si>
  <si>
    <r>
      <rPr>
        <sz val="10"/>
        <color rgb="FF231F20"/>
        <rFont val="Helvetica"/>
        <family val="2"/>
        <scheme val="minor"/>
      </rPr>
      <t>Access Agreements</t>
    </r>
  </si>
  <si>
    <r>
      <rPr>
        <sz val="10"/>
        <color rgb="FF231F20"/>
        <rFont val="Helvetica"/>
        <family val="2"/>
        <scheme val="minor"/>
      </rPr>
      <t>PS-7</t>
    </r>
  </si>
  <si>
    <r>
      <rPr>
        <sz val="10"/>
        <color rgb="FF231F20"/>
        <rFont val="Helvetica"/>
        <family val="2"/>
        <scheme val="minor"/>
      </rPr>
      <t>Third-Party Personnel Security</t>
    </r>
  </si>
  <si>
    <r>
      <rPr>
        <sz val="10"/>
        <color rgb="FF231F20"/>
        <rFont val="Helvetica"/>
        <family val="2"/>
        <scheme val="minor"/>
      </rPr>
      <t>PS-8</t>
    </r>
  </si>
  <si>
    <r>
      <rPr>
        <sz val="10"/>
        <color rgb="FF231F20"/>
        <rFont val="Helvetica"/>
        <family val="2"/>
        <scheme val="minor"/>
      </rPr>
      <t>Personnel Sanctions</t>
    </r>
  </si>
  <si>
    <r>
      <rPr>
        <sz val="10"/>
        <color rgb="FF231F20"/>
        <rFont val="Helvetica"/>
        <family val="2"/>
        <scheme val="minor"/>
      </rPr>
      <t>RA-1</t>
    </r>
  </si>
  <si>
    <r>
      <rPr>
        <sz val="10"/>
        <color rgb="FF231F20"/>
        <rFont val="Helvetica"/>
        <family val="2"/>
        <scheme val="minor"/>
      </rPr>
      <t>Risk Assessment Policy and Procedures</t>
    </r>
  </si>
  <si>
    <r>
      <rPr>
        <sz val="10"/>
        <color rgb="FF231F20"/>
        <rFont val="Helvetica"/>
        <family val="2"/>
        <scheme val="minor"/>
      </rPr>
      <t>RA-2</t>
    </r>
  </si>
  <si>
    <r>
      <rPr>
        <sz val="10"/>
        <color rgb="FF231F20"/>
        <rFont val="Helvetica"/>
        <family val="2"/>
        <scheme val="minor"/>
      </rPr>
      <t>Security Categorization</t>
    </r>
  </si>
  <si>
    <r>
      <rPr>
        <sz val="10"/>
        <color rgb="FF231F20"/>
        <rFont val="Helvetica"/>
        <family val="2"/>
        <scheme val="minor"/>
      </rPr>
      <t>RA-3</t>
    </r>
  </si>
  <si>
    <r>
      <rPr>
        <sz val="10"/>
        <color rgb="FF231F20"/>
        <rFont val="Helvetica"/>
        <family val="2"/>
        <scheme val="minor"/>
      </rPr>
      <t>Risk Assessment</t>
    </r>
  </si>
  <si>
    <r>
      <rPr>
        <sz val="10"/>
        <color rgb="FF231F20"/>
        <rFont val="Helvetica"/>
        <family val="2"/>
        <scheme val="minor"/>
      </rPr>
      <t>RA-4</t>
    </r>
  </si>
  <si>
    <r>
      <rPr>
        <sz val="10"/>
        <color rgb="FF231F20"/>
        <rFont val="Helvetica"/>
        <family val="2"/>
        <scheme val="minor"/>
      </rPr>
      <t>RA-5</t>
    </r>
  </si>
  <si>
    <r>
      <rPr>
        <sz val="10"/>
        <color rgb="FF231F20"/>
        <rFont val="Helvetica"/>
        <family val="2"/>
        <scheme val="minor"/>
      </rPr>
      <t>Vulnerability Scanning</t>
    </r>
  </si>
  <si>
    <r>
      <rPr>
        <sz val="10"/>
        <color rgb="FF231F20"/>
        <rFont val="Helvetica"/>
        <family val="2"/>
        <scheme val="minor"/>
      </rPr>
      <t>RA-6</t>
    </r>
  </si>
  <si>
    <t>Technical Surveillance Countermeasures Survey</t>
  </si>
  <si>
    <r>
      <rPr>
        <sz val="10"/>
        <color rgb="FF231F20"/>
        <rFont val="Helvetica"/>
        <family val="2"/>
        <scheme val="minor"/>
      </rPr>
      <t>SA-1</t>
    </r>
  </si>
  <si>
    <t>System and Services Acquisition Policy and Procedures</t>
  </si>
  <si>
    <r>
      <rPr>
        <sz val="10"/>
        <color rgb="FF231F20"/>
        <rFont val="Helvetica"/>
        <family val="2"/>
        <scheme val="minor"/>
      </rPr>
      <t>SA-2</t>
    </r>
  </si>
  <si>
    <r>
      <rPr>
        <sz val="10"/>
        <color rgb="FF231F20"/>
        <rFont val="Helvetica"/>
        <family val="2"/>
        <scheme val="minor"/>
      </rPr>
      <t>Allocation of Resources</t>
    </r>
  </si>
  <si>
    <r>
      <rPr>
        <sz val="10"/>
        <color rgb="FF231F20"/>
        <rFont val="Helvetica"/>
        <family val="2"/>
        <scheme val="minor"/>
      </rPr>
      <t>SA-3</t>
    </r>
  </si>
  <si>
    <r>
      <rPr>
        <sz val="10"/>
        <color rgb="FF231F20"/>
        <rFont val="Helvetica"/>
        <family val="2"/>
        <scheme val="minor"/>
      </rPr>
      <t>System Development Life Cycle</t>
    </r>
  </si>
  <si>
    <r>
      <rPr>
        <sz val="10"/>
        <color rgb="FF231F20"/>
        <rFont val="Helvetica"/>
        <family val="2"/>
        <scheme val="minor"/>
      </rPr>
      <t>SA-4</t>
    </r>
  </si>
  <si>
    <r>
      <rPr>
        <sz val="10"/>
        <color rgb="FF231F20"/>
        <rFont val="Helvetica"/>
        <family val="2"/>
        <scheme val="minor"/>
      </rPr>
      <t>Acquisition Process</t>
    </r>
  </si>
  <si>
    <r>
      <rPr>
        <sz val="10"/>
        <color rgb="FF231F20"/>
        <rFont val="Helvetica"/>
        <family val="2"/>
        <scheme val="minor"/>
      </rPr>
      <t>SA-5</t>
    </r>
  </si>
  <si>
    <r>
      <rPr>
        <sz val="10"/>
        <color rgb="FF231F20"/>
        <rFont val="Helvetica"/>
        <family val="2"/>
        <scheme val="minor"/>
      </rPr>
      <t>Information System Documentation</t>
    </r>
  </si>
  <si>
    <r>
      <rPr>
        <sz val="10"/>
        <color rgb="FF231F20"/>
        <rFont val="Helvetica"/>
        <family val="2"/>
        <scheme val="minor"/>
      </rPr>
      <t>SA-6</t>
    </r>
  </si>
  <si>
    <r>
      <rPr>
        <sz val="10"/>
        <color rgb="FF231F20"/>
        <rFont val="Helvetica"/>
        <family val="2"/>
        <scheme val="minor"/>
      </rPr>
      <t>SA-7</t>
    </r>
  </si>
  <si>
    <r>
      <rPr>
        <sz val="10"/>
        <color rgb="FF231F20"/>
        <rFont val="Helvetica"/>
        <family val="2"/>
        <scheme val="minor"/>
      </rPr>
      <t>SA-8</t>
    </r>
  </si>
  <si>
    <r>
      <rPr>
        <sz val="10"/>
        <color rgb="FF231F20"/>
        <rFont val="Helvetica"/>
        <family val="2"/>
        <scheme val="minor"/>
      </rPr>
      <t>Security Engineering Principles</t>
    </r>
  </si>
  <si>
    <r>
      <rPr>
        <sz val="10"/>
        <color rgb="FF231F20"/>
        <rFont val="Helvetica"/>
        <family val="2"/>
        <scheme val="minor"/>
      </rPr>
      <t>SA-9</t>
    </r>
  </si>
  <si>
    <r>
      <rPr>
        <sz val="10"/>
        <color rgb="FF231F20"/>
        <rFont val="Helvetica"/>
        <family val="2"/>
        <scheme val="minor"/>
      </rPr>
      <t>External Information System Services</t>
    </r>
  </si>
  <si>
    <r>
      <rPr>
        <sz val="10"/>
        <color rgb="FF231F20"/>
        <rFont val="Helvetica"/>
        <family val="2"/>
        <scheme val="minor"/>
      </rPr>
      <t>SA-10</t>
    </r>
  </si>
  <si>
    <r>
      <rPr>
        <sz val="10"/>
        <color rgb="FF231F20"/>
        <rFont val="Helvetica"/>
        <family val="2"/>
        <scheme val="minor"/>
      </rPr>
      <t>Developer Configuration Management</t>
    </r>
  </si>
  <si>
    <r>
      <rPr>
        <sz val="10"/>
        <color rgb="FF231F20"/>
        <rFont val="Helvetica"/>
        <family val="2"/>
        <scheme val="minor"/>
      </rPr>
      <t>SA-11</t>
    </r>
  </si>
  <si>
    <r>
      <rPr>
        <sz val="10"/>
        <color rgb="FF231F20"/>
        <rFont val="Helvetica"/>
        <family val="2"/>
        <scheme val="minor"/>
      </rPr>
      <t>Developer Security Testing and Evaluation</t>
    </r>
  </si>
  <si>
    <r>
      <rPr>
        <sz val="10"/>
        <color rgb="FF231F20"/>
        <rFont val="Helvetica"/>
        <family val="2"/>
        <scheme val="minor"/>
      </rPr>
      <t>SA-12</t>
    </r>
  </si>
  <si>
    <r>
      <rPr>
        <sz val="10"/>
        <color rgb="FF231F20"/>
        <rFont val="Helvetica"/>
        <family val="2"/>
        <scheme val="minor"/>
      </rPr>
      <t>Supply Chain Protection</t>
    </r>
  </si>
  <si>
    <r>
      <rPr>
        <sz val="10"/>
        <color rgb="FF231F20"/>
        <rFont val="Helvetica"/>
        <family val="2"/>
        <scheme val="minor"/>
      </rPr>
      <t>SA-13</t>
    </r>
  </si>
  <si>
    <r>
      <rPr>
        <sz val="10"/>
        <color rgb="FF231F20"/>
        <rFont val="Helvetica"/>
        <family val="2"/>
        <scheme val="minor"/>
      </rPr>
      <t>Trustworthiness</t>
    </r>
  </si>
  <si>
    <r>
      <rPr>
        <sz val="10"/>
        <color rgb="FF231F20"/>
        <rFont val="Helvetica"/>
        <family val="2"/>
        <scheme val="minor"/>
      </rPr>
      <t>SA-14</t>
    </r>
  </si>
  <si>
    <r>
      <rPr>
        <sz val="10"/>
        <color rgb="FF231F20"/>
        <rFont val="Helvetica"/>
        <family val="2"/>
        <scheme val="minor"/>
      </rPr>
      <t>Criticality Analysis</t>
    </r>
  </si>
  <si>
    <r>
      <rPr>
        <sz val="10"/>
        <color rgb="FF231F20"/>
        <rFont val="Helvetica"/>
        <family val="2"/>
        <scheme val="minor"/>
      </rPr>
      <t>SA-15</t>
    </r>
  </si>
  <si>
    <t>Development Process, Standards, and Tools</t>
  </si>
  <si>
    <r>
      <rPr>
        <sz val="10"/>
        <color rgb="FF231F20"/>
        <rFont val="Helvetica"/>
        <family val="2"/>
        <scheme val="minor"/>
      </rPr>
      <t>SA-16</t>
    </r>
  </si>
  <si>
    <r>
      <rPr>
        <sz val="10"/>
        <color rgb="FF231F20"/>
        <rFont val="Helvetica"/>
        <family val="2"/>
        <scheme val="minor"/>
      </rPr>
      <t>Developer-Provided Training</t>
    </r>
  </si>
  <si>
    <r>
      <rPr>
        <sz val="10"/>
        <color rgb="FF231F20"/>
        <rFont val="Helvetica"/>
        <family val="2"/>
        <scheme val="minor"/>
      </rPr>
      <t>SA-17</t>
    </r>
  </si>
  <si>
    <r>
      <rPr>
        <sz val="10"/>
        <color rgb="FF231F20"/>
        <rFont val="Helvetica"/>
        <family val="2"/>
        <scheme val="minor"/>
      </rPr>
      <t>Developer Security Architecture and Design</t>
    </r>
  </si>
  <si>
    <r>
      <rPr>
        <sz val="10"/>
        <color rgb="FF231F20"/>
        <rFont val="Helvetica"/>
        <family val="2"/>
        <scheme val="minor"/>
      </rPr>
      <t>SA-18</t>
    </r>
  </si>
  <si>
    <r>
      <rPr>
        <sz val="10"/>
        <color rgb="FF231F20"/>
        <rFont val="Helvetica"/>
        <family val="2"/>
        <scheme val="minor"/>
      </rPr>
      <t>Tamper Resistance and Detection</t>
    </r>
  </si>
  <si>
    <r>
      <rPr>
        <sz val="10"/>
        <color rgb="FF231F20"/>
        <rFont val="Helvetica"/>
        <family val="2"/>
        <scheme val="minor"/>
      </rPr>
      <t>SA-19</t>
    </r>
  </si>
  <si>
    <r>
      <rPr>
        <sz val="10"/>
        <color rgb="FF231F20"/>
        <rFont val="Helvetica"/>
        <family val="2"/>
        <scheme val="minor"/>
      </rPr>
      <t>Component Authenticity</t>
    </r>
  </si>
  <si>
    <r>
      <rPr>
        <sz val="10"/>
        <color rgb="FF231F20"/>
        <rFont val="Helvetica"/>
        <family val="2"/>
        <scheme val="minor"/>
      </rPr>
      <t>SA-20</t>
    </r>
  </si>
  <si>
    <t>Customized Development of Critical Components</t>
  </si>
  <si>
    <r>
      <rPr>
        <sz val="10"/>
        <color rgb="FF231F20"/>
        <rFont val="Helvetica"/>
        <family val="2"/>
        <scheme val="minor"/>
      </rPr>
      <t>SA-21</t>
    </r>
  </si>
  <si>
    <r>
      <rPr>
        <sz val="10"/>
        <color rgb="FF231F20"/>
        <rFont val="Helvetica"/>
        <family val="2"/>
        <scheme val="minor"/>
      </rPr>
      <t>Developer Screening</t>
    </r>
  </si>
  <si>
    <r>
      <rPr>
        <sz val="10"/>
        <color rgb="FF231F20"/>
        <rFont val="Helvetica"/>
        <family val="2"/>
        <scheme val="minor"/>
      </rPr>
      <t>SA-22</t>
    </r>
  </si>
  <si>
    <r>
      <rPr>
        <sz val="10"/>
        <color rgb="FF231F20"/>
        <rFont val="Helvetica"/>
        <family val="2"/>
        <scheme val="minor"/>
      </rPr>
      <t>Unsupported System Components</t>
    </r>
  </si>
  <si>
    <r>
      <rPr>
        <sz val="10"/>
        <color rgb="FF231F20"/>
        <rFont val="Helvetica"/>
        <family val="2"/>
        <scheme val="minor"/>
      </rPr>
      <t>SC-1</t>
    </r>
  </si>
  <si>
    <t>System and Communications Protection Policy and Procedures</t>
  </si>
  <si>
    <r>
      <rPr>
        <sz val="10"/>
        <color rgb="FF231F20"/>
        <rFont val="Helvetica"/>
        <family val="2"/>
        <scheme val="minor"/>
      </rPr>
      <t>SC-2</t>
    </r>
  </si>
  <si>
    <r>
      <rPr>
        <sz val="10"/>
        <color rgb="FF231F20"/>
        <rFont val="Helvetica"/>
        <family val="2"/>
        <scheme val="minor"/>
      </rPr>
      <t>Application Partitioning</t>
    </r>
  </si>
  <si>
    <r>
      <rPr>
        <sz val="10"/>
        <color rgb="FF231F20"/>
        <rFont val="Helvetica"/>
        <family val="2"/>
        <scheme val="minor"/>
      </rPr>
      <t>SC-3</t>
    </r>
  </si>
  <si>
    <r>
      <rPr>
        <sz val="10"/>
        <color rgb="FF231F20"/>
        <rFont val="Helvetica"/>
        <family val="2"/>
        <scheme val="minor"/>
      </rPr>
      <t>Security Function Isolation</t>
    </r>
  </si>
  <si>
    <r>
      <rPr>
        <sz val="10"/>
        <color rgb="FF231F20"/>
        <rFont val="Helvetica"/>
        <family val="2"/>
        <scheme val="minor"/>
      </rPr>
      <t>SC-4</t>
    </r>
  </si>
  <si>
    <r>
      <rPr>
        <sz val="10"/>
        <color rgb="FF231F20"/>
        <rFont val="Helvetica"/>
        <family val="2"/>
        <scheme val="minor"/>
      </rPr>
      <t>Information in Shared Resources</t>
    </r>
  </si>
  <si>
    <r>
      <rPr>
        <sz val="10"/>
        <color rgb="FF231F20"/>
        <rFont val="Helvetica"/>
        <family val="2"/>
        <scheme val="minor"/>
      </rPr>
      <t>SC-5</t>
    </r>
  </si>
  <si>
    <r>
      <rPr>
        <sz val="10"/>
        <color rgb="FF231F20"/>
        <rFont val="Helvetica"/>
        <family val="2"/>
        <scheme val="minor"/>
      </rPr>
      <t>Denial of Service Protection</t>
    </r>
  </si>
  <si>
    <r>
      <rPr>
        <sz val="10"/>
        <color rgb="FF231F20"/>
        <rFont val="Helvetica"/>
        <family val="2"/>
        <scheme val="minor"/>
      </rPr>
      <t>SC-6</t>
    </r>
  </si>
  <si>
    <r>
      <rPr>
        <sz val="10"/>
        <color rgb="FF231F20"/>
        <rFont val="Helvetica"/>
        <family val="2"/>
        <scheme val="minor"/>
      </rPr>
      <t>Resource Availability</t>
    </r>
  </si>
  <si>
    <r>
      <rPr>
        <sz val="10"/>
        <color rgb="FF231F20"/>
        <rFont val="Helvetica"/>
        <family val="2"/>
        <scheme val="minor"/>
      </rPr>
      <t>SC-7</t>
    </r>
  </si>
  <si>
    <r>
      <rPr>
        <sz val="10"/>
        <color rgb="FF231F20"/>
        <rFont val="Helvetica"/>
        <family val="2"/>
        <scheme val="minor"/>
      </rPr>
      <t>Boundary Protection</t>
    </r>
  </si>
  <si>
    <r>
      <rPr>
        <sz val="10"/>
        <color rgb="FF231F20"/>
        <rFont val="Helvetica"/>
        <family val="2"/>
        <scheme val="minor"/>
      </rPr>
      <t>SC-8</t>
    </r>
  </si>
  <si>
    <r>
      <rPr>
        <sz val="10"/>
        <color rgb="FF231F20"/>
        <rFont val="Helvetica"/>
        <family val="2"/>
        <scheme val="minor"/>
      </rPr>
      <t>Transmission Confidentiality and Integrity</t>
    </r>
  </si>
  <si>
    <r>
      <rPr>
        <sz val="10"/>
        <color rgb="FF231F20"/>
        <rFont val="Helvetica"/>
        <family val="2"/>
        <scheme val="minor"/>
      </rPr>
      <t>SC-9</t>
    </r>
  </si>
  <si>
    <r>
      <rPr>
        <sz val="10"/>
        <color rgb="FF231F20"/>
        <rFont val="Helvetica"/>
        <family val="2"/>
        <scheme val="minor"/>
      </rPr>
      <t>SC-10</t>
    </r>
  </si>
  <si>
    <r>
      <rPr>
        <sz val="10"/>
        <color rgb="FF231F20"/>
        <rFont val="Helvetica"/>
        <family val="2"/>
        <scheme val="minor"/>
      </rPr>
      <t>Network Disconnect</t>
    </r>
  </si>
  <si>
    <r>
      <rPr>
        <sz val="10"/>
        <color rgb="FF231F20"/>
        <rFont val="Helvetica"/>
        <family val="2"/>
        <scheme val="minor"/>
      </rPr>
      <t>SC-11</t>
    </r>
  </si>
  <si>
    <r>
      <rPr>
        <sz val="10"/>
        <color rgb="FF231F20"/>
        <rFont val="Helvetica"/>
        <family val="2"/>
        <scheme val="minor"/>
      </rPr>
      <t>Trusted Path</t>
    </r>
  </si>
  <si>
    <r>
      <rPr>
        <sz val="10"/>
        <color rgb="FF231F20"/>
        <rFont val="Helvetica"/>
        <family val="2"/>
        <scheme val="minor"/>
      </rPr>
      <t>SC-12</t>
    </r>
  </si>
  <si>
    <t>Cryptographic Key Establishment and Management</t>
  </si>
  <si>
    <r>
      <rPr>
        <sz val="10"/>
        <color rgb="FF231F20"/>
        <rFont val="Helvetica"/>
        <family val="2"/>
        <scheme val="minor"/>
      </rPr>
      <t>SC-13</t>
    </r>
  </si>
  <si>
    <r>
      <rPr>
        <sz val="10"/>
        <color rgb="FF231F20"/>
        <rFont val="Helvetica"/>
        <family val="2"/>
        <scheme val="minor"/>
      </rPr>
      <t>Cryptographic Protection</t>
    </r>
  </si>
  <si>
    <r>
      <rPr>
        <sz val="10"/>
        <color rgb="FF231F20"/>
        <rFont val="Helvetica"/>
        <family val="2"/>
        <scheme val="minor"/>
      </rPr>
      <t>SC-14</t>
    </r>
  </si>
  <si>
    <r>
      <rPr>
        <sz val="10"/>
        <color rgb="FF231F20"/>
        <rFont val="Helvetica"/>
        <family val="2"/>
        <scheme val="minor"/>
      </rPr>
      <t>SC-15</t>
    </r>
  </si>
  <si>
    <r>
      <rPr>
        <sz val="10"/>
        <color rgb="FF231F20"/>
        <rFont val="Helvetica"/>
        <family val="2"/>
        <scheme val="minor"/>
      </rPr>
      <t>Collaborative Computing Devices</t>
    </r>
  </si>
  <si>
    <r>
      <rPr>
        <sz val="10"/>
        <color rgb="FF231F20"/>
        <rFont val="Helvetica"/>
        <family val="2"/>
        <scheme val="minor"/>
      </rPr>
      <t>SC-16</t>
    </r>
  </si>
  <si>
    <r>
      <rPr>
        <sz val="10"/>
        <color rgb="FF231F20"/>
        <rFont val="Helvetica"/>
        <family val="2"/>
        <scheme val="minor"/>
      </rPr>
      <t>Transmission of Security Attributes</t>
    </r>
  </si>
  <si>
    <r>
      <rPr>
        <sz val="10"/>
        <color rgb="FF231F20"/>
        <rFont val="Helvetica"/>
        <family val="2"/>
        <scheme val="minor"/>
      </rPr>
      <t>SC-17</t>
    </r>
  </si>
  <si>
    <r>
      <rPr>
        <sz val="10"/>
        <color rgb="FF231F20"/>
        <rFont val="Helvetica"/>
        <family val="2"/>
        <scheme val="minor"/>
      </rPr>
      <t>Public Key Infrastructure Certificates</t>
    </r>
  </si>
  <si>
    <r>
      <rPr>
        <sz val="10"/>
        <color rgb="FF231F20"/>
        <rFont val="Helvetica"/>
        <family val="2"/>
        <scheme val="minor"/>
      </rPr>
      <t>SC-18</t>
    </r>
  </si>
  <si>
    <r>
      <rPr>
        <sz val="10"/>
        <color rgb="FF231F20"/>
        <rFont val="Helvetica"/>
        <family val="2"/>
        <scheme val="minor"/>
      </rPr>
      <t>Mobile Code</t>
    </r>
  </si>
  <si>
    <r>
      <rPr>
        <sz val="10"/>
        <color rgb="FF231F20"/>
        <rFont val="Helvetica"/>
        <family val="2"/>
        <scheme val="minor"/>
      </rPr>
      <t>SC-19</t>
    </r>
  </si>
  <si>
    <r>
      <rPr>
        <sz val="10"/>
        <color rgb="FF231F20"/>
        <rFont val="Helvetica"/>
        <family val="2"/>
        <scheme val="minor"/>
      </rPr>
      <t>Voice Over Internet Protocol</t>
    </r>
  </si>
  <si>
    <r>
      <rPr>
        <sz val="10"/>
        <color rgb="FF231F20"/>
        <rFont val="Helvetica"/>
        <family val="2"/>
        <scheme val="minor"/>
      </rPr>
      <t>SC-20</t>
    </r>
  </si>
  <si>
    <t>Secure Name /Address Resolution Service (Authoritative Source)</t>
  </si>
  <si>
    <r>
      <rPr>
        <sz val="10"/>
        <color rgb="FF231F20"/>
        <rFont val="Helvetica"/>
        <family val="2"/>
        <scheme val="minor"/>
      </rPr>
      <t>SC-21</t>
    </r>
  </si>
  <si>
    <t>Secure Name /Address Resolution Service (Recursive or Caching Resolver)</t>
  </si>
  <si>
    <r>
      <rPr>
        <sz val="10"/>
        <color rgb="FF231F20"/>
        <rFont val="Helvetica"/>
        <family val="2"/>
        <scheme val="minor"/>
      </rPr>
      <t>SC-22</t>
    </r>
  </si>
  <si>
    <t>Architecture and Provisioning for Name/Address Resolution Service</t>
  </si>
  <si>
    <r>
      <rPr>
        <sz val="10"/>
        <color rgb="FF231F20"/>
        <rFont val="Helvetica"/>
        <family val="2"/>
        <scheme val="minor"/>
      </rPr>
      <t>SC-23</t>
    </r>
  </si>
  <si>
    <r>
      <rPr>
        <sz val="10"/>
        <color rgb="FF231F20"/>
        <rFont val="Helvetica"/>
        <family val="2"/>
        <scheme val="minor"/>
      </rPr>
      <t>Session Authenticity</t>
    </r>
  </si>
  <si>
    <r>
      <rPr>
        <sz val="10"/>
        <color rgb="FF231F20"/>
        <rFont val="Helvetica"/>
        <family val="2"/>
        <scheme val="minor"/>
      </rPr>
      <t>SC-24</t>
    </r>
  </si>
  <si>
    <r>
      <rPr>
        <sz val="10"/>
        <color rgb="FF231F20"/>
        <rFont val="Helvetica"/>
        <family val="2"/>
        <scheme val="minor"/>
      </rPr>
      <t>Fail in Known State</t>
    </r>
  </si>
  <si>
    <r>
      <rPr>
        <sz val="10"/>
        <color rgb="FF231F20"/>
        <rFont val="Helvetica"/>
        <family val="2"/>
        <scheme val="minor"/>
      </rPr>
      <t>SC-25</t>
    </r>
  </si>
  <si>
    <r>
      <rPr>
        <sz val="10"/>
        <color rgb="FF231F20"/>
        <rFont val="Helvetica"/>
        <family val="2"/>
        <scheme val="minor"/>
      </rPr>
      <t>Thin Nodes</t>
    </r>
  </si>
  <si>
    <r>
      <rPr>
        <sz val="10"/>
        <color rgb="FF231F20"/>
        <rFont val="Helvetica"/>
        <family val="2"/>
        <scheme val="minor"/>
      </rPr>
      <t>SC-26</t>
    </r>
  </si>
  <si>
    <r>
      <rPr>
        <sz val="10"/>
        <color rgb="FF231F20"/>
        <rFont val="Helvetica"/>
        <family val="2"/>
        <scheme val="minor"/>
      </rPr>
      <t>Honeypots</t>
    </r>
  </si>
  <si>
    <r>
      <rPr>
        <sz val="10"/>
        <color rgb="FF231F20"/>
        <rFont val="Helvetica"/>
        <family val="2"/>
        <scheme val="minor"/>
      </rPr>
      <t>SC-27</t>
    </r>
  </si>
  <si>
    <r>
      <rPr>
        <sz val="10"/>
        <color rgb="FF231F20"/>
        <rFont val="Helvetica"/>
        <family val="2"/>
        <scheme val="minor"/>
      </rPr>
      <t>Platform-Independent Applications</t>
    </r>
  </si>
  <si>
    <r>
      <rPr>
        <sz val="10"/>
        <color rgb="FF231F20"/>
        <rFont val="Helvetica"/>
        <family val="2"/>
        <scheme val="minor"/>
      </rPr>
      <t>SC-28</t>
    </r>
  </si>
  <si>
    <r>
      <rPr>
        <sz val="10"/>
        <color rgb="FF231F20"/>
        <rFont val="Helvetica"/>
        <family val="2"/>
        <scheme val="minor"/>
      </rPr>
      <t>Protection of Information at Rest</t>
    </r>
  </si>
  <si>
    <r>
      <rPr>
        <sz val="10"/>
        <color rgb="FF231F20"/>
        <rFont val="Helvetica"/>
        <family val="2"/>
        <scheme val="minor"/>
      </rPr>
      <t>SC-29</t>
    </r>
  </si>
  <si>
    <r>
      <rPr>
        <sz val="10"/>
        <color rgb="FF231F20"/>
        <rFont val="Helvetica"/>
        <family val="2"/>
        <scheme val="minor"/>
      </rPr>
      <t>Heterogeneity</t>
    </r>
  </si>
  <si>
    <r>
      <rPr>
        <sz val="10"/>
        <color rgb="FF231F20"/>
        <rFont val="Helvetica"/>
        <family val="2"/>
        <scheme val="minor"/>
      </rPr>
      <t>SC-30</t>
    </r>
  </si>
  <si>
    <r>
      <rPr>
        <sz val="10"/>
        <color rgb="FF231F20"/>
        <rFont val="Helvetica"/>
        <family val="2"/>
        <scheme val="minor"/>
      </rPr>
      <t>Concealment and Misdirection</t>
    </r>
  </si>
  <si>
    <r>
      <rPr>
        <sz val="10"/>
        <color rgb="FF231F20"/>
        <rFont val="Helvetica"/>
        <family val="2"/>
        <scheme val="minor"/>
      </rPr>
      <t>SC-31</t>
    </r>
  </si>
  <si>
    <r>
      <rPr>
        <sz val="10"/>
        <color rgb="FF231F20"/>
        <rFont val="Helvetica"/>
        <family val="2"/>
        <scheme val="minor"/>
      </rPr>
      <t>Covert Channel Analysis</t>
    </r>
  </si>
  <si>
    <r>
      <rPr>
        <sz val="10"/>
        <color rgb="FF231F20"/>
        <rFont val="Helvetica"/>
        <family val="2"/>
        <scheme val="minor"/>
      </rPr>
      <t>SC-32</t>
    </r>
  </si>
  <si>
    <r>
      <rPr>
        <sz val="10"/>
        <color rgb="FF231F20"/>
        <rFont val="Helvetica"/>
        <family val="2"/>
        <scheme val="minor"/>
      </rPr>
      <t>Information System Partitioning</t>
    </r>
  </si>
  <si>
    <r>
      <rPr>
        <sz val="10"/>
        <color rgb="FF231F20"/>
        <rFont val="Helvetica"/>
        <family val="2"/>
        <scheme val="minor"/>
      </rPr>
      <t>SC-33</t>
    </r>
  </si>
  <si>
    <r>
      <rPr>
        <sz val="10"/>
        <color rgb="FF231F20"/>
        <rFont val="Helvetica"/>
        <family val="2"/>
        <scheme val="minor"/>
      </rPr>
      <t>SC-34</t>
    </r>
  </si>
  <si>
    <r>
      <rPr>
        <sz val="10"/>
        <color rgb="FF231F20"/>
        <rFont val="Helvetica"/>
        <family val="2"/>
        <scheme val="minor"/>
      </rPr>
      <t>Non-Modifiable Executable Programs</t>
    </r>
  </si>
  <si>
    <r>
      <rPr>
        <sz val="10"/>
        <color rgb="FF231F20"/>
        <rFont val="Helvetica"/>
        <family val="2"/>
        <scheme val="minor"/>
      </rPr>
      <t>SC-35</t>
    </r>
  </si>
  <si>
    <r>
      <rPr>
        <sz val="10"/>
        <color rgb="FF231F20"/>
        <rFont val="Helvetica"/>
        <family val="2"/>
        <scheme val="minor"/>
      </rPr>
      <t>Honeyclients</t>
    </r>
  </si>
  <si>
    <r>
      <rPr>
        <sz val="10"/>
        <color rgb="FF231F20"/>
        <rFont val="Helvetica"/>
        <family val="2"/>
        <scheme val="minor"/>
      </rPr>
      <t>SC-36</t>
    </r>
  </si>
  <si>
    <r>
      <rPr>
        <sz val="10"/>
        <color rgb="FF231F20"/>
        <rFont val="Helvetica"/>
        <family val="2"/>
        <scheme val="minor"/>
      </rPr>
      <t>Distributed Processing and Storage</t>
    </r>
  </si>
  <si>
    <r>
      <rPr>
        <sz val="10"/>
        <color rgb="FF231F20"/>
        <rFont val="Helvetica"/>
        <family val="2"/>
        <scheme val="minor"/>
      </rPr>
      <t>SC-37</t>
    </r>
  </si>
  <si>
    <r>
      <rPr>
        <sz val="10"/>
        <color rgb="FF231F20"/>
        <rFont val="Helvetica"/>
        <family val="2"/>
        <scheme val="minor"/>
      </rPr>
      <t>Out-of-Band Channels</t>
    </r>
  </si>
  <si>
    <r>
      <rPr>
        <sz val="10"/>
        <color rgb="FF231F20"/>
        <rFont val="Helvetica"/>
        <family val="2"/>
        <scheme val="minor"/>
      </rPr>
      <t>SC-38</t>
    </r>
  </si>
  <si>
    <r>
      <rPr>
        <sz val="10"/>
        <color rgb="FF231F20"/>
        <rFont val="Helvetica"/>
        <family val="2"/>
        <scheme val="minor"/>
      </rPr>
      <t>Operations Security</t>
    </r>
  </si>
  <si>
    <r>
      <rPr>
        <sz val="10"/>
        <color rgb="FF231F20"/>
        <rFont val="Helvetica"/>
        <family val="2"/>
        <scheme val="minor"/>
      </rPr>
      <t>SC-39</t>
    </r>
  </si>
  <si>
    <r>
      <rPr>
        <sz val="10"/>
        <color rgb="FF231F20"/>
        <rFont val="Helvetica"/>
        <family val="2"/>
        <scheme val="minor"/>
      </rPr>
      <t>Process Isolation</t>
    </r>
  </si>
  <si>
    <r>
      <rPr>
        <sz val="10"/>
        <color rgb="FF231F20"/>
        <rFont val="Helvetica"/>
        <family val="2"/>
        <scheme val="minor"/>
      </rPr>
      <t>SC-40</t>
    </r>
  </si>
  <si>
    <r>
      <rPr>
        <sz val="10"/>
        <color rgb="FF231F20"/>
        <rFont val="Helvetica"/>
        <family val="2"/>
        <scheme val="minor"/>
      </rPr>
      <t>Wireless Link Protection</t>
    </r>
  </si>
  <si>
    <r>
      <rPr>
        <sz val="10"/>
        <color rgb="FF231F20"/>
        <rFont val="Helvetica"/>
        <family val="2"/>
        <scheme val="minor"/>
      </rPr>
      <t>SC-41</t>
    </r>
  </si>
  <si>
    <r>
      <rPr>
        <sz val="10"/>
        <color rgb="FF231F20"/>
        <rFont val="Helvetica"/>
        <family val="2"/>
        <scheme val="minor"/>
      </rPr>
      <t>Port and I/O Device Access</t>
    </r>
  </si>
  <si>
    <r>
      <rPr>
        <sz val="10"/>
        <color rgb="FF231F20"/>
        <rFont val="Helvetica"/>
        <family val="2"/>
        <scheme val="minor"/>
      </rPr>
      <t>SC-42</t>
    </r>
  </si>
  <si>
    <r>
      <rPr>
        <sz val="10"/>
        <color rgb="FF231F20"/>
        <rFont val="Helvetica"/>
        <family val="2"/>
        <scheme val="minor"/>
      </rPr>
      <t>Sensor Capability and Data</t>
    </r>
  </si>
  <si>
    <r>
      <rPr>
        <sz val="10"/>
        <color rgb="FF231F20"/>
        <rFont val="Helvetica"/>
        <family val="2"/>
        <scheme val="minor"/>
      </rPr>
      <t>SC-43</t>
    </r>
  </si>
  <si>
    <r>
      <rPr>
        <sz val="10"/>
        <color rgb="FF231F20"/>
        <rFont val="Helvetica"/>
        <family val="2"/>
        <scheme val="minor"/>
      </rPr>
      <t>Usage Restrictions</t>
    </r>
  </si>
  <si>
    <r>
      <rPr>
        <sz val="10"/>
        <color rgb="FF231F20"/>
        <rFont val="Helvetica"/>
        <family val="2"/>
        <scheme val="minor"/>
      </rPr>
      <t>SC-44</t>
    </r>
  </si>
  <si>
    <r>
      <rPr>
        <sz val="10"/>
        <color rgb="FF231F20"/>
        <rFont val="Helvetica"/>
        <family val="2"/>
        <scheme val="minor"/>
      </rPr>
      <t>Detonation Chambers</t>
    </r>
  </si>
  <si>
    <r>
      <rPr>
        <sz val="10"/>
        <color rgb="FF231F20"/>
        <rFont val="Helvetica"/>
        <family val="2"/>
        <scheme val="minor"/>
      </rPr>
      <t>SI-1</t>
    </r>
  </si>
  <si>
    <t>System and Information Integrity Policy and Procedures</t>
  </si>
  <si>
    <r>
      <rPr>
        <sz val="10"/>
        <color rgb="FF231F20"/>
        <rFont val="Helvetica"/>
        <family val="2"/>
        <scheme val="minor"/>
      </rPr>
      <t>SI-2</t>
    </r>
  </si>
  <si>
    <r>
      <rPr>
        <sz val="10"/>
        <color rgb="FF231F20"/>
        <rFont val="Helvetica"/>
        <family val="2"/>
        <scheme val="minor"/>
      </rPr>
      <t>Flaw Remediation</t>
    </r>
  </si>
  <si>
    <r>
      <rPr>
        <sz val="10"/>
        <color rgb="FF231F20"/>
        <rFont val="Helvetica"/>
        <family val="2"/>
        <scheme val="minor"/>
      </rPr>
      <t>SI-3</t>
    </r>
  </si>
  <si>
    <r>
      <rPr>
        <sz val="10"/>
        <color rgb="FF231F20"/>
        <rFont val="Helvetica"/>
        <family val="2"/>
        <scheme val="minor"/>
      </rPr>
      <t>Malicious Code Protection</t>
    </r>
  </si>
  <si>
    <r>
      <rPr>
        <sz val="10"/>
        <color rgb="FF231F20"/>
        <rFont val="Helvetica"/>
        <family val="2"/>
        <scheme val="minor"/>
      </rPr>
      <t>SI-4</t>
    </r>
  </si>
  <si>
    <r>
      <rPr>
        <sz val="10"/>
        <color rgb="FF231F20"/>
        <rFont val="Helvetica"/>
        <family val="2"/>
        <scheme val="minor"/>
      </rPr>
      <t>Information System Monitoring</t>
    </r>
  </si>
  <si>
    <r>
      <rPr>
        <sz val="10"/>
        <color rgb="FF231F20"/>
        <rFont val="Helvetica"/>
        <family val="2"/>
        <scheme val="minor"/>
      </rPr>
      <t>SI-5</t>
    </r>
  </si>
  <si>
    <r>
      <rPr>
        <sz val="10"/>
        <color rgb="FF231F20"/>
        <rFont val="Helvetica"/>
        <family val="2"/>
        <scheme val="minor"/>
      </rPr>
      <t>Security Alerts, Advisories, and Directives</t>
    </r>
  </si>
  <si>
    <r>
      <rPr>
        <sz val="10"/>
        <color rgb="FF231F20"/>
        <rFont val="Helvetica"/>
        <family val="2"/>
        <scheme val="minor"/>
      </rPr>
      <t>SI-6</t>
    </r>
  </si>
  <si>
    <r>
      <rPr>
        <sz val="10"/>
        <color rgb="FF231F20"/>
        <rFont val="Helvetica"/>
        <family val="2"/>
        <scheme val="minor"/>
      </rPr>
      <t>Security Function Verification</t>
    </r>
  </si>
  <si>
    <r>
      <rPr>
        <sz val="10"/>
        <color rgb="FF231F20"/>
        <rFont val="Helvetica"/>
        <family val="2"/>
        <scheme val="minor"/>
      </rPr>
      <t>SI-7</t>
    </r>
  </si>
  <si>
    <t>Software, Firmware, and Information Integrity</t>
  </si>
  <si>
    <r>
      <rPr>
        <sz val="10"/>
        <color rgb="FF231F20"/>
        <rFont val="Helvetica"/>
        <family val="2"/>
        <scheme val="minor"/>
      </rPr>
      <t>SI-8</t>
    </r>
  </si>
  <si>
    <r>
      <rPr>
        <sz val="10"/>
        <color rgb="FF231F20"/>
        <rFont val="Helvetica"/>
        <family val="2"/>
        <scheme val="minor"/>
      </rPr>
      <t>Spam Protection</t>
    </r>
  </si>
  <si>
    <r>
      <rPr>
        <sz val="10"/>
        <color rgb="FF231F20"/>
        <rFont val="Helvetica"/>
        <family val="2"/>
        <scheme val="minor"/>
      </rPr>
      <t>SI-9</t>
    </r>
  </si>
  <si>
    <r>
      <rPr>
        <sz val="10"/>
        <color rgb="FF231F20"/>
        <rFont val="Helvetica"/>
        <family val="2"/>
        <scheme val="minor"/>
      </rPr>
      <t>SI-10</t>
    </r>
  </si>
  <si>
    <r>
      <rPr>
        <sz val="10"/>
        <color rgb="FF231F20"/>
        <rFont val="Helvetica"/>
        <family val="2"/>
        <scheme val="minor"/>
      </rPr>
      <t>Information Input Validation</t>
    </r>
  </si>
  <si>
    <r>
      <rPr>
        <sz val="10"/>
        <color rgb="FF231F20"/>
        <rFont val="Helvetica"/>
        <family val="2"/>
        <scheme val="minor"/>
      </rPr>
      <t>SI-11</t>
    </r>
  </si>
  <si>
    <r>
      <rPr>
        <sz val="10"/>
        <color rgb="FF231F20"/>
        <rFont val="Helvetica"/>
        <family val="2"/>
        <scheme val="minor"/>
      </rPr>
      <t>Error Handling</t>
    </r>
  </si>
  <si>
    <r>
      <rPr>
        <sz val="10"/>
        <color rgb="FF231F20"/>
        <rFont val="Helvetica"/>
        <family val="2"/>
        <scheme val="minor"/>
      </rPr>
      <t>SI-12</t>
    </r>
  </si>
  <si>
    <r>
      <rPr>
        <sz val="10"/>
        <color rgb="FF231F20"/>
        <rFont val="Helvetica"/>
        <family val="2"/>
        <scheme val="minor"/>
      </rPr>
      <t>Information Handling and Retention</t>
    </r>
  </si>
  <si>
    <r>
      <rPr>
        <sz val="10"/>
        <color rgb="FF231F20"/>
        <rFont val="Helvetica"/>
        <family val="2"/>
        <scheme val="minor"/>
      </rPr>
      <t>SI-13</t>
    </r>
  </si>
  <si>
    <r>
      <rPr>
        <sz val="10"/>
        <color rgb="FF231F20"/>
        <rFont val="Helvetica"/>
        <family val="2"/>
        <scheme val="minor"/>
      </rPr>
      <t>Predictable Failure Prevention</t>
    </r>
  </si>
  <si>
    <r>
      <rPr>
        <sz val="10"/>
        <color rgb="FF231F20"/>
        <rFont val="Helvetica"/>
        <family val="2"/>
        <scheme val="minor"/>
      </rPr>
      <t>SI-14</t>
    </r>
  </si>
  <si>
    <r>
      <rPr>
        <sz val="10"/>
        <color rgb="FF231F20"/>
        <rFont val="Helvetica"/>
        <family val="2"/>
        <scheme val="minor"/>
      </rPr>
      <t>Non-Persistence</t>
    </r>
  </si>
  <si>
    <r>
      <rPr>
        <sz val="10"/>
        <color rgb="FF231F20"/>
        <rFont val="Helvetica"/>
        <family val="2"/>
        <scheme val="minor"/>
      </rPr>
      <t>SI-15</t>
    </r>
  </si>
  <si>
    <r>
      <rPr>
        <sz val="10"/>
        <color rgb="FF231F20"/>
        <rFont val="Helvetica"/>
        <family val="2"/>
        <scheme val="minor"/>
      </rPr>
      <t>Information Output Filtering</t>
    </r>
  </si>
  <si>
    <r>
      <rPr>
        <sz val="10"/>
        <color rgb="FF231F20"/>
        <rFont val="Helvetica"/>
        <family val="2"/>
        <scheme val="minor"/>
      </rPr>
      <t>SI-16</t>
    </r>
  </si>
  <si>
    <r>
      <rPr>
        <sz val="10"/>
        <color rgb="FF231F20"/>
        <rFont val="Helvetica"/>
        <family val="2"/>
        <scheme val="minor"/>
      </rPr>
      <t>Memory Protection</t>
    </r>
  </si>
  <si>
    <r>
      <rPr>
        <sz val="10"/>
        <color rgb="FF231F20"/>
        <rFont val="Helvetica"/>
        <family val="2"/>
        <scheme val="minor"/>
      </rPr>
      <t>SI-17</t>
    </r>
  </si>
  <si>
    <r>
      <rPr>
        <sz val="10"/>
        <color rgb="FF231F20"/>
        <rFont val="Helvetica"/>
        <family val="2"/>
        <scheme val="minor"/>
      </rPr>
      <t>Fail-Safe Procedures</t>
    </r>
  </si>
  <si>
    <r>
      <rPr>
        <sz val="10"/>
        <color rgb="FF231F20"/>
        <rFont val="Helvetica"/>
        <family val="2"/>
        <scheme val="minor"/>
      </rPr>
      <t>PM-1</t>
    </r>
  </si>
  <si>
    <r>
      <rPr>
        <sz val="10"/>
        <color rgb="FF231F20"/>
        <rFont val="Helvetica"/>
        <family val="2"/>
        <scheme val="minor"/>
      </rPr>
      <t>Information Security Program Plan</t>
    </r>
  </si>
  <si>
    <r>
      <rPr>
        <sz val="10"/>
        <color rgb="FF231F20"/>
        <rFont val="Helvetica"/>
        <family val="2"/>
        <scheme val="minor"/>
      </rPr>
      <t>PM-2</t>
    </r>
  </si>
  <si>
    <r>
      <rPr>
        <sz val="10"/>
        <color rgb="FF231F20"/>
        <rFont val="Helvetica"/>
        <family val="2"/>
        <scheme val="minor"/>
      </rPr>
      <t>Senior Information Security Officer</t>
    </r>
  </si>
  <si>
    <r>
      <rPr>
        <sz val="10"/>
        <color rgb="FF231F20"/>
        <rFont val="Helvetica"/>
        <family val="2"/>
        <scheme val="minor"/>
      </rPr>
      <t>PM-3</t>
    </r>
  </si>
  <si>
    <r>
      <rPr>
        <sz val="10"/>
        <color rgb="FF231F20"/>
        <rFont val="Helvetica"/>
        <family val="2"/>
        <scheme val="minor"/>
      </rPr>
      <t>Information Security Resources</t>
    </r>
  </si>
  <si>
    <r>
      <rPr>
        <sz val="10"/>
        <color rgb="FF231F20"/>
        <rFont val="Helvetica"/>
        <family val="2"/>
        <scheme val="minor"/>
      </rPr>
      <t>PM-4</t>
    </r>
  </si>
  <si>
    <r>
      <rPr>
        <sz val="10"/>
        <color rgb="FF231F20"/>
        <rFont val="Helvetica"/>
        <family val="2"/>
        <scheme val="minor"/>
      </rPr>
      <t>Plan of Action and Milestones Process</t>
    </r>
  </si>
  <si>
    <r>
      <rPr>
        <sz val="10"/>
        <color rgb="FF231F20"/>
        <rFont val="Helvetica"/>
        <family val="2"/>
        <scheme val="minor"/>
      </rPr>
      <t>PM-5</t>
    </r>
  </si>
  <si>
    <r>
      <rPr>
        <sz val="10"/>
        <color rgb="FF231F20"/>
        <rFont val="Helvetica"/>
        <family val="2"/>
        <scheme val="minor"/>
      </rPr>
      <t>Information System Inventory</t>
    </r>
  </si>
  <si>
    <r>
      <rPr>
        <sz val="10"/>
        <color rgb="FF231F20"/>
        <rFont val="Helvetica"/>
        <family val="2"/>
        <scheme val="minor"/>
      </rPr>
      <t>PM-6</t>
    </r>
    <r>
      <rPr>
        <sz val="12"/>
        <color rgb="FF000000"/>
        <rFont val="Verdana"/>
        <family val="2"/>
      </rPr>
      <t/>
    </r>
  </si>
  <si>
    <t>Information Security Measures of Performance</t>
  </si>
  <si>
    <r>
      <rPr>
        <sz val="10"/>
        <color rgb="FF231F20"/>
        <rFont val="Helvetica"/>
        <family val="2"/>
        <scheme val="minor"/>
      </rPr>
      <t>PM-7</t>
    </r>
    <r>
      <rPr>
        <sz val="12"/>
        <color rgb="FF000000"/>
        <rFont val="Verdana"/>
        <family val="2"/>
      </rPr>
      <t/>
    </r>
  </si>
  <si>
    <t>Enterprise Architecture</t>
  </si>
  <si>
    <r>
      <rPr>
        <sz val="10"/>
        <color rgb="FF231F20"/>
        <rFont val="Helvetica"/>
        <family val="2"/>
        <scheme val="minor"/>
      </rPr>
      <t>PM-8</t>
    </r>
    <r>
      <rPr>
        <sz val="12"/>
        <color rgb="FF000000"/>
        <rFont val="Verdana"/>
        <family val="2"/>
      </rPr>
      <t/>
    </r>
  </si>
  <si>
    <t>Critical Infrastructure Plan</t>
  </si>
  <si>
    <r>
      <rPr>
        <sz val="10"/>
        <color rgb="FF231F20"/>
        <rFont val="Helvetica"/>
        <family val="2"/>
        <scheme val="minor"/>
      </rPr>
      <t>PM-9</t>
    </r>
    <r>
      <rPr>
        <sz val="12"/>
        <color rgb="FF000000"/>
        <rFont val="Verdana"/>
        <family val="2"/>
      </rPr>
      <t/>
    </r>
  </si>
  <si>
    <t>Risk Management Strategy</t>
  </si>
  <si>
    <r>
      <rPr>
        <sz val="10"/>
        <color rgb="FF231F20"/>
        <rFont val="Helvetica"/>
        <family val="2"/>
        <scheme val="minor"/>
      </rPr>
      <t>PM-10</t>
    </r>
    <r>
      <rPr>
        <sz val="12"/>
        <color rgb="FF000000"/>
        <rFont val="Verdana"/>
        <family val="2"/>
      </rPr>
      <t/>
    </r>
  </si>
  <si>
    <t>Security Authorization Process</t>
  </si>
  <si>
    <r>
      <rPr>
        <sz val="10"/>
        <color rgb="FF231F20"/>
        <rFont val="Helvetica"/>
        <family val="2"/>
        <scheme val="minor"/>
      </rPr>
      <t>PM-11</t>
    </r>
    <r>
      <rPr>
        <sz val="12"/>
        <color rgb="FF000000"/>
        <rFont val="Verdana"/>
        <family val="2"/>
      </rPr>
      <t/>
    </r>
  </si>
  <si>
    <t>Mission/Business Process Definition</t>
  </si>
  <si>
    <r>
      <rPr>
        <sz val="10"/>
        <color rgb="FF231F20"/>
        <rFont val="Helvetica"/>
        <family val="2"/>
        <scheme val="minor"/>
      </rPr>
      <t>PM-12</t>
    </r>
    <r>
      <rPr>
        <sz val="12"/>
        <color rgb="FF000000"/>
        <rFont val="Verdana"/>
        <family val="2"/>
      </rPr>
      <t/>
    </r>
  </si>
  <si>
    <t>Insider Threat Program</t>
  </si>
  <si>
    <r>
      <rPr>
        <sz val="10"/>
        <color rgb="FF231F20"/>
        <rFont val="Helvetica"/>
        <family val="2"/>
        <scheme val="minor"/>
      </rPr>
      <t>PM-13</t>
    </r>
    <r>
      <rPr>
        <sz val="12"/>
        <color rgb="FF000000"/>
        <rFont val="Verdana"/>
        <family val="2"/>
      </rPr>
      <t/>
    </r>
  </si>
  <si>
    <t>Information Security Workforce</t>
  </si>
  <si>
    <r>
      <rPr>
        <sz val="10"/>
        <color rgb="FF231F20"/>
        <rFont val="Helvetica"/>
        <family val="2"/>
        <scheme val="minor"/>
      </rPr>
      <t>PM-14</t>
    </r>
    <r>
      <rPr>
        <sz val="12"/>
        <color rgb="FF000000"/>
        <rFont val="Verdana"/>
        <family val="2"/>
      </rPr>
      <t/>
    </r>
  </si>
  <si>
    <t>Testing, Training, &amp; Monitoring</t>
  </si>
  <si>
    <r>
      <rPr>
        <sz val="10"/>
        <color rgb="FF231F20"/>
        <rFont val="Helvetica"/>
        <family val="2"/>
        <scheme val="minor"/>
      </rPr>
      <t>PM-15</t>
    </r>
    <r>
      <rPr>
        <sz val="12"/>
        <color rgb="FF000000"/>
        <rFont val="Verdana"/>
        <family val="2"/>
      </rPr>
      <t/>
    </r>
  </si>
  <si>
    <t>Contacts with Security Groups and Associations</t>
  </si>
  <si>
    <r>
      <rPr>
        <sz val="10"/>
        <color rgb="FF231F20"/>
        <rFont val="Helvetica"/>
        <family val="2"/>
        <scheme val="minor"/>
      </rPr>
      <t>PM-16</t>
    </r>
    <r>
      <rPr>
        <sz val="12"/>
        <color rgb="FF000000"/>
        <rFont val="Verdana"/>
        <family val="2"/>
      </rPr>
      <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</si>
  <si>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</si>
  <si>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</si>
  <si>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</si>
  <si>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</si>
  <si>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</si>
  <si>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</si>
  <si>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</si>
  <si>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</si>
  <si>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</si>
  <si>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PE-2, PE-3, PE-5, PE-11, PE-13, PE-14, SA-9</t>
  </si>
  <si>
    <t>Physical Access Authorizations; Physical Access Control; Access Control for Transmission Medium; Emergency Power; Fire Protection; Temperature and Humidity Controls; External Information System Services</t>
  </si>
  <si>
    <t xml:space="preserve">SA-3, SA-15, SC-2, PM-2, PM-10, SI-5,PM-3 </t>
  </si>
  <si>
    <t>System Development Life Cycle; Development Process, Standards, and Tools; Application Partitioning; Senior Information Security Officer; Security Authorization Process; Security Alerts, Advisories, and Directives; Information Security Resources</t>
  </si>
  <si>
    <t>AC-2, AC-3, AC-6</t>
  </si>
  <si>
    <t>Account Management; Access Enforcement; Least Privilege</t>
  </si>
  <si>
    <t>AC-3, CM-7; NIST SP 800-46</t>
  </si>
  <si>
    <t>Access Enforcement; Least Functionality; Guide to Enterprise Telework, Remote Access, and Bring Your Own Device (BYOD) Security</t>
  </si>
  <si>
    <t>CA-9, SC-4</t>
  </si>
  <si>
    <t>Internal System Connections; Information in Shared Resources</t>
  </si>
  <si>
    <t>IA-2, IA-5</t>
  </si>
  <si>
    <t>Identification and Authentication (Organizational Users); Authenticator Management</t>
  </si>
  <si>
    <t>AU-2(3), AU-6, AU-12, AC-6(9), CM-3, MA-2, MA-5, PE-3</t>
  </si>
  <si>
    <t>Audit and Accountability: reviews and updates; Audit Review, Analysis, and Reporting; Audit Generation; Access Control: Auditing use of privileged functions; Configuration Change Control; Controlled Maintenance; Maintenance Personnel; Physical Access Control</t>
  </si>
  <si>
    <t>AU-7, AU-9, IR-4, AC-5, CP-4, CP-10; NIST SP 800-34</t>
  </si>
  <si>
    <t>Audit Reduction and Report Generation; Protection of Audit Information; Incident Handling; Separation of Duties; Contingency Plan Testing; Information System Recovery and Reconstitution; Contingency Planning Guide for Federal Information Systems</t>
  </si>
  <si>
    <t>AC-5, CP-4, CP-10; NIST SP 800-34</t>
  </si>
  <si>
    <t>Separation of Duties; Contingency Plan Testing; Information System Recovery and Reconstitution; Contingency Planning Guide for Federal Information Systems</t>
  </si>
  <si>
    <t>CM-3, CM-4, CM-5</t>
  </si>
  <si>
    <t>Configuration Change Control; Security Impact Analysis; Access Restrictions for Change</t>
  </si>
  <si>
    <t>AC-4, MP-2, MP-4</t>
  </si>
  <si>
    <t>Information Flow Enforcement; Media Access; Media Storage</t>
  </si>
  <si>
    <t>MP-2, AC-19(5)</t>
  </si>
  <si>
    <t>Media Access; Access Control: Full device / container based encryption</t>
  </si>
  <si>
    <t>CP-9, MP-5</t>
  </si>
  <si>
    <t>Information System Backup; Media Transport</t>
  </si>
  <si>
    <t>CP-9 MP-6, NIST SP 800-60, NIST SP 800-88, AC-2, AC-6, IA-4, PM-2, PM-10, SI-5, MA-2, MA-3, MP-6</t>
  </si>
  <si>
    <t>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t>
  </si>
  <si>
    <t>IR-2, IR-4, IR-9</t>
  </si>
  <si>
    <t>Incident Response Training; Incident Handling; Information Spillage Response</t>
  </si>
  <si>
    <t>IR-2, IR-4, IR-10</t>
  </si>
  <si>
    <t>Incident Response Training; Incident Handling; Integrated Information Security Analysis Team</t>
  </si>
  <si>
    <t>MP-4, PE-2, PE-5, PE-6, PE-17</t>
  </si>
  <si>
    <t>Media Storage; Physical Access Authorizations; Access Control for Output Devices; Monitoring Physical Access; Alternate Work Site</t>
  </si>
  <si>
    <t>MP-2, MP-5, MP-7</t>
  </si>
  <si>
    <t>Media Access; Media Transport; Media Use</t>
  </si>
  <si>
    <t>PM-2, PM-10, SI-5, CA-5, PM-1</t>
  </si>
  <si>
    <t>Senior Information Security Officer; Security Authorization Process; Security Alerts, Advisories, and Directives; Plan of Action and Milestones; Information Security Program Plan</t>
  </si>
  <si>
    <t>CA-5, CM-3, PM-1, SA-15, SA-3, SA-8, SC-2</t>
  </si>
  <si>
    <t>Plan of Action and Milestones; Configuration Change Control; Information Security Program Plan; Development Process, Standards, and Tools; System Development Life Cycle; Security Engineering Principles; Application Partitioning</t>
  </si>
  <si>
    <t>CA-5, PM-1, IR-4, IR-5, IR-7, IR-8</t>
  </si>
  <si>
    <t>Plan of Action and Milestones; Information Security Program Plan; Identifier Management; Authenticator Management; Cryptographic Module Authentication; Identification and Authentication (Non- Organizational Users)</t>
  </si>
  <si>
    <t>CA-5, PM-1</t>
  </si>
  <si>
    <t>Plan of Action and Milestones; Information Security Program Plan</t>
  </si>
  <si>
    <t>CM-2, CM-6, CM-3, AC-19, MA-2</t>
  </si>
  <si>
    <t>Baseline Configuration; Configuration Settings; Configuration Change Control; Access Control for Mobile Devices; Controlled Maintenance</t>
  </si>
  <si>
    <t>§164.308(a)(1)(i)</t>
  </si>
  <si>
    <t>Security management process: Implement policies and procedures to prevent, detect, contain, and correct security violations.</t>
  </si>
  <si>
    <t>§164.308(a)(1)(ii)(B)</t>
  </si>
  <si>
    <t>Has the risk management process been completed using IAW NIST Guidelines?</t>
  </si>
  <si>
    <t>1.x</t>
  </si>
  <si>
    <t>Install and maintain a firewall configuration to protect cardholder data</t>
  </si>
  <si>
    <t>Establish and implement firewall and router configuration standards that include the following:</t>
  </si>
  <si>
    <t>1.1.1</t>
  </si>
  <si>
    <t>A formal process for approving and testing all network connections and changes to the firewall and router configurations</t>
  </si>
  <si>
    <t>1.1.2</t>
  </si>
  <si>
    <t>Current network diagram that identifies all connections between the cardholder data environment and other networks, including any wireless networks</t>
  </si>
  <si>
    <t>1.1.3</t>
  </si>
  <si>
    <t>Current diagram that shows all cardholder data flows across systems and networks</t>
  </si>
  <si>
    <t>1.1.4</t>
  </si>
  <si>
    <t>Requirements for a firewall at each Internet connection and between any demilitarized zone (DMZ) and the internal network zone</t>
  </si>
  <si>
    <t>1.1.5</t>
  </si>
  <si>
    <t>Description of groups, roles, and responsibilities for management of network components</t>
  </si>
  <si>
    <t>1.1.6</t>
  </si>
  <si>
    <t>Documentation of business justification and approval for use of all services, protocols, and ports allowed, including documentation of security features implemented for those protocols considered to be insecure.</t>
  </si>
  <si>
    <t>1.1.7</t>
  </si>
  <si>
    <t>Requirement to review firewall and router rule sets at least every six months</t>
  </si>
  <si>
    <t>Build firewall and router configurations that restrict connections between untrusted networks and any system components in the cardholder data environment. Note: An “untrusted network” is any network that is external to the networks belonging to the entity under review, and/or which is out of the entity's ability to control or manage.</t>
  </si>
  <si>
    <t>1.2.1</t>
  </si>
  <si>
    <t>Restrict inbound and outbound traffic to that which is necessary for the cardholder data environment, and specifically deny all other traffic.</t>
  </si>
  <si>
    <t>1.2.2</t>
  </si>
  <si>
    <t>Secure and synchronize router configuration files.</t>
  </si>
  <si>
    <t>1.2.3</t>
  </si>
  <si>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</si>
  <si>
    <t>Prohibit direct public access between the Internet and any system component in the cardholder data environment.</t>
  </si>
  <si>
    <t>1.3.1</t>
  </si>
  <si>
    <t>Implement a DMZ to limit inbound traffic to only system components that provide authorized publicly accessible services, protocols, and ports.</t>
  </si>
  <si>
    <t>1.3.2</t>
  </si>
  <si>
    <t>Limit inbound Internet traffic to IP addresses within the DMZ.</t>
  </si>
  <si>
    <t>1.3.3</t>
  </si>
  <si>
    <t>Implement anti-spoofing measures to detect and block forged source IP addresses from entering the network. (For example, block traffic originating from the Internet with an internal source address.)</t>
  </si>
  <si>
    <t>1.3.4</t>
  </si>
  <si>
    <t>Do not allow unauthorized outbound traffic from the cardholder data environment to the Internet.</t>
  </si>
  <si>
    <t>1.3.5</t>
  </si>
  <si>
    <t>Permit only “established” connections into the network.</t>
  </si>
  <si>
    <t>1.3.6</t>
  </si>
  <si>
    <t>Place system components that store cardholder data (such as a database) in an internal network zone, segregated from the DMZ and other untrusted networks.</t>
  </si>
  <si>
    <t>1.3.7</t>
  </si>
  <si>
    <t>Do not disclose private IP addresses and routing information to unauthorized parties. Note: Methods to obscure IP addressing may include, but are not limited to: • Network Address Translation (NAT) • Placing servers containing cardholder data behind proxy servers/firewalls, • Removal or filtering of route advertisements for private networks that employ registered addressing, • Internal use of RFC1918 address space instead of registered addresses.</t>
  </si>
  <si>
    <t>Install personal firewall software or equivalent functionality on any portable computing devices (including company and/or employee-owned) that connect to the Internet when outside the network (for example, laptops used by employees), and which are also used to access the CDE. Firewall (or equivalent) configurations include: • Specific configuration settings are defined. • Personal firewall (or equivalent functionality) is actively running. • Personal firewall (or equivalent functionality) is not alterable by users of the portable computing devices.</t>
  </si>
  <si>
    <t>Ensure that security policies and operational procedures for managing firewalls are documented, in use, and known to all affected parties.</t>
  </si>
  <si>
    <t>2.x</t>
  </si>
  <si>
    <t>Do not use vendor-supplied defaults for system passwords and other security parameters</t>
  </si>
  <si>
    <t>Always change vendor-supplied defaults and remove or disable unnecessary default accounts before installing a system on the network. This applies to ALL default passwords, including but not limited to those used by operating systems, software that provides security services, application and system accounts, point-of-sale (POS) terminals, payment applications, Simple Network Management Protocol (SNMP) community strings, etc.).</t>
  </si>
  <si>
    <t>2.1.1</t>
  </si>
  <si>
    <t>For wireless environments connected to the cardholder data environment or transmitting cardholder data, change ALL wireless vendor defaults at installation, including but not limited to default wireless encryption keys, passwords, and SNMP community strings.</t>
  </si>
  <si>
    <t>Develop configuration standards for all system components. Assure that these standards address all known security vulnerabilities and are consistent with industry-accepted system hardening standards. Sources of industry-accepted system hardening standards may include, but are not limited to: • Center for Internet Security (CIS) • International Organization for Standardization (ISO) • SysAdmin Audit Network Security (SANS) Institute • National Institute of Standards Technology (NIST).</t>
  </si>
  <si>
    <t>2.2.1</t>
  </si>
  <si>
    <t>Implement only one primary function per server to prevent functions that require different security levels from co-existing on the same server. (For example, web servers, database servers, and DNS should be implemented on separate servers.) Note: Where virtualization technologies are in use, implement only one primary function per virtual system component.</t>
  </si>
  <si>
    <t>2.2.2</t>
  </si>
  <si>
    <t>Enable only necessary services, protocols, daemons, etc., as required for the function of the system.</t>
  </si>
  <si>
    <t>2.2.3</t>
  </si>
  <si>
    <t>Implement additional security features for any required services, protocols, or daemons that are considered to be insecure. Note: Where SSL/early TLS is used, the requirements in Appendix A2 must be completed.</t>
  </si>
  <si>
    <t>2.2.4</t>
  </si>
  <si>
    <t>Configure system security parameters to prevent misuse.</t>
  </si>
  <si>
    <t>2.2.5</t>
  </si>
  <si>
    <t>Remove all unnecessary functionality, such as scripts, drivers, features, subsystems, file systems, and unnecessary web servers.</t>
  </si>
  <si>
    <t>Encrypt all non-console administrative access using strong cryptography. Note: Where SSL/early TLS is used, the requirements in Appendix A2 must be completed.</t>
  </si>
  <si>
    <t>Maintain an inventory of system components that are in scope for PCI DSS.</t>
  </si>
  <si>
    <t>Ensure that security policies and operational procedures for managing vendor defaults and other security parameters are documented, in use, and known to all affected parties.</t>
  </si>
  <si>
    <t>Shared hosting providers must protect each entity’s hosted environment and cardholder data. These providers must meet specific requirements as detailed in Appendix A1: Additional PCI DSS Requirements for Shared Hosting Providers.</t>
  </si>
  <si>
    <t>3.x</t>
  </si>
  <si>
    <t>Protect stored cardholder data</t>
  </si>
  <si>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and/or business requirements • Specific retention requirements for cardholder data • Processes for secure deletion of data when no longer needed • A quarterly process for identifying and securely deleting stored cardholder data that exceeds defined retention.</t>
  </si>
  <si>
    <t>Do not store sensitive authentication data after authorization (even if encrypted). If sensitive authentication data is received, render all data unrecoverable upon completion of the authorization process. It is permissible for issuers and companies that support issuing services to store sensitive authentication data if: • There is a business justification and • The data is stored securely. Sensitive authentication data includes the data as cited in the following Requirements 3.2.1 through 3.2.3:</t>
  </si>
  <si>
    <t>Do not store the full contents of any track (from the magnetic stripe located on the back of a card, equivalent data contained on a chip, or elsewhere) after authorization. This data is alternatively called full track, track, track 1, track 2, and magnetic-stripe data. Note: In the normal course of business, the following data elements from the magnetic stripe may need to be retained: • The cardholder’s name • Primary account number (PAN) • Expiration date • Service code To minimize risk, store only these data elements as needed for business.</t>
  </si>
  <si>
    <t>Do not store the card verification code or value (three-digit or four-digit number printed on the front or back of a payment card used to verify card-not-present transactions) after authorization.</t>
  </si>
  <si>
    <t>Do not store the personal identification number (PIN) or the encrypted PIN block after authorization.</t>
  </si>
  <si>
    <t>Mask PAN when displayed (the first six and last four digits are the maximum number of digits to be displayed), such that only personnel with a legitimate business need can see more than the first six/last four digits of the PAN. Note: This requirement does not supersede stricter requirements in place for displays of cardholder data—for example, legal or payment card brand requirements for point-of-sale (POS) receipts.</t>
  </si>
  <si>
    <t>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Note: 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</si>
  <si>
    <t>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 Note: This requirement applies in addition to all other PCI DSS encryption and key-management requirements.</t>
  </si>
  <si>
    <t>Document and implement procedures to protect keys used to secure stored cardholder data against disclosure and misuse: Note: This requirement applies to keys used to encrypt stored cardholder data, and also applies to key-encrypting keys used to protect data-encrypting keys—such key-encrypting keys must be at least as strong as the data-encrypting key.</t>
  </si>
  <si>
    <t>Additional requirement for service providers only: Maintain a documented description of the cryptographic architecture that includes: • Details of all algorithms, protocols, and keys used for the protection of cardholder data, including key strength and expiry date • Description of the key usage for each key. • Inventory of any HSMs and other SCDs used for key management Note: This requirement is a best practice until January 31, 2018, after which it becomes a requirement.</t>
  </si>
  <si>
    <t>Restrict access to cryptographic keys to the fewest number of custodians necessary.</t>
  </si>
  <si>
    <t>Store secret and private keys used to encrypt/decrypt cardholder data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industry-accepted method Note: It is not required that public keys be stored in one of these forms.</t>
  </si>
  <si>
    <t>Store cryptographic keys in the fewest possible locations.</t>
  </si>
  <si>
    <t>Fully document and implement all key-management processes and procedures for cryptographic keys used for encryption of cardholder data, including the following: Note: Numerous industry standards for key management are available from various resources including NIST, which can be found at http://csrc.nist.gov.</t>
  </si>
  <si>
    <t>Generation of strong cryptographic keys</t>
  </si>
  <si>
    <t>Secure cryptographic key distribution</t>
  </si>
  <si>
    <t>Secure cryptographic key storage</t>
  </si>
  <si>
    <t>3.6.4</t>
  </si>
  <si>
    <t>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t>
  </si>
  <si>
    <t>3.6.5</t>
  </si>
  <si>
    <t>Retirement or replacement (for example, archiving, destruction, and/or revocation) of keys as deemed necessary when the integrity of the key has been weakened (for example, departure of an employee with knowledge of a clear-text key component), or keys are suspected of being compromised. Note: If retired or replaced cryptographic keys need to be retained, these keys must be securely archived (for example, by using a key-encryption key). Archived cryptographic keys should only be used for decryption/verification purposes.</t>
  </si>
  <si>
    <t>3.6.6</t>
  </si>
  <si>
    <t>If manual clear-text cryptographic key-management operations are used, these operations must be managed using split knowledge and dual control. Note: Examples of manual key-management operations include, but are not limited to: key generation, transmission, loading, storage and destruction.</t>
  </si>
  <si>
    <t>3.6.7</t>
  </si>
  <si>
    <t>Prevention of unauthorized substitution of cryptographic keys.</t>
  </si>
  <si>
    <t>3.6.8</t>
  </si>
  <si>
    <t>Requirement for cryptographic key custodians to formally acknowledge that they understand and accept their key-custodian responsibilities.</t>
  </si>
  <si>
    <t>Ensure that security policies and operational procedures for protecting stored cardholder data are documented, in use, and known to all affected parties.</t>
  </si>
  <si>
    <t>4.x</t>
  </si>
  <si>
    <t>Encrypt transmission of cardholder data across open, public networks</t>
  </si>
  <si>
    <t>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Note: Where SSL/early TLS is used, the requirements in Appendix A2 must be completed.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t>
  </si>
  <si>
    <t>4.1.1</t>
  </si>
  <si>
    <t>Ensure wireless networks transmitting cardholder data or connected to the cardholder data environment, use industry best practices to implement strong encryption for authentication and transmission.</t>
  </si>
  <si>
    <t>Never send unprotected PANs by end-user messaging technologies (for example, e-mail, instant messaging, SMS, chat, etc.).</t>
  </si>
  <si>
    <t>Ensure that security policies and operational procedures for encrypting transmissions of cardholder data are documented, in use, and known to all affected parties.</t>
  </si>
  <si>
    <t>5.x</t>
  </si>
  <si>
    <t>Use and regularly update anti-virus software or programs</t>
  </si>
  <si>
    <t>Deploy anti-virus software on all systems commonly affected by malicious software (particularly personal computers and servers).</t>
  </si>
  <si>
    <t>Ensure that anti-virus programs are capable of detecting, removing, and protecting against all known types of malicious software.</t>
  </si>
  <si>
    <t>For systems considered to be not commonly affected by malicious software, perform periodic evaluations to identify and evaluate evolving malware threats in order to confirm whether such systems continue to not require anti-virus software.</t>
  </si>
  <si>
    <t>Ensure that all anti-virus mechanisms are maintained as follows: • Are kept current, • Perform periodic scans • Generate audit logs which are retained per PCI DSS Requirement 10.7.</t>
  </si>
  <si>
    <t>Ensure that anti-virus mechanisms are actively running and cannot be disabled or altered by users, unless specifically authorized by management on a case-by-case basis for a limited time period. Note: 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</si>
  <si>
    <t>Ensure that security policies and operational procedures for protecting systems against malware are documented, in use, and known to all affected parties.</t>
  </si>
  <si>
    <t>6.x</t>
  </si>
  <si>
    <t>Develop and maintain secure systems and applications</t>
  </si>
  <si>
    <t>Establish a process to identify security vulnerabilities, using reputable outside sources for security vulnerability information, and assign a risk ranking (for example, as “high,” “medium,” or “low”) to newly discovered security vulnerabilities. Note: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</si>
  <si>
    <t>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t>
  </si>
  <si>
    <t>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Note: This applies to all software developed internally as well as bespoke or custom software developed by a third party.</t>
  </si>
  <si>
    <t>6.3.1</t>
  </si>
  <si>
    <t>Remove development, test and/or custom application accounts, user IDs, and passwords before applications become active or are released to customers.</t>
  </si>
  <si>
    <t>6.3.2</t>
  </si>
  <si>
    <t>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Note: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</si>
  <si>
    <t>Follow change control processes and procedures for all changes to system components. The processes must include the following:</t>
  </si>
  <si>
    <t>6.4.1</t>
  </si>
  <si>
    <t>Separate development/test environments from production environments, and enforce the separation with access controls.</t>
  </si>
  <si>
    <t>6.4.2</t>
  </si>
  <si>
    <t>Separation of duties between development/test and production environments</t>
  </si>
  <si>
    <t>6.4.3</t>
  </si>
  <si>
    <t>Production data (live PANs) are not used for testing or development</t>
  </si>
  <si>
    <t>6.4.4</t>
  </si>
  <si>
    <t>Removal of test data and accounts from system components before the system becomes active/goes into production.</t>
  </si>
  <si>
    <t>6.4.5</t>
  </si>
  <si>
    <t>Change control procedures must include the following:</t>
  </si>
  <si>
    <t>6.4.5.1</t>
  </si>
  <si>
    <t>Documentation of impact.</t>
  </si>
  <si>
    <t>6.4.5.2</t>
  </si>
  <si>
    <t>Documented change approval by authorized parties.</t>
  </si>
  <si>
    <t>6.4.5.3</t>
  </si>
  <si>
    <t>Functionality testing to verify that the change does not adversely impact the security of the system.</t>
  </si>
  <si>
    <t>6.4.5.4</t>
  </si>
  <si>
    <t>Back-out procedures.</t>
  </si>
  <si>
    <t>6.4.6</t>
  </si>
  <si>
    <t>Upon completion of a significant change, all relevant PCI DSS requirements must be implemented on all new or changed systems and networks, and documentation updated as applicable. Note: This requirement is a best practice until January 31, 2018, after which it becomes a requirement.</t>
  </si>
  <si>
    <t>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</si>
  <si>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6.5.1</t>
  </si>
  <si>
    <t>Injection flaws, particularly SQL injection. Also consider OS Command Injection, LDAP and XPath injection flaws as well as other injection flaws.</t>
  </si>
  <si>
    <t>6.5.2</t>
  </si>
  <si>
    <t>Buffer overflows</t>
  </si>
  <si>
    <t>6.5.3</t>
  </si>
  <si>
    <t>Insecure cryptographic storage</t>
  </si>
  <si>
    <t>6.5.4</t>
  </si>
  <si>
    <t>Insecure communications</t>
  </si>
  <si>
    <t>6.5.5</t>
  </si>
  <si>
    <t>Improper error handling</t>
  </si>
  <si>
    <t>6.5.6</t>
  </si>
  <si>
    <t>All “high risk” vulnerabilities identified in the vulnerability identification process (as defined in PCI DSS Requirement 6.1).</t>
  </si>
  <si>
    <t>6.5.7</t>
  </si>
  <si>
    <t>Cross-site scripting (XSS)</t>
  </si>
  <si>
    <t>6.5.8</t>
  </si>
  <si>
    <t>Improper access control (such as insecure direct object references, failure to restrict URL access, directory traversal, and failure to restrict user access to functions).</t>
  </si>
  <si>
    <t>6.5.9</t>
  </si>
  <si>
    <t>Cross-site request forgery (CSRF)</t>
  </si>
  <si>
    <t>6.5.10</t>
  </si>
  <si>
    <t>Broken authentication and session management</t>
  </si>
  <si>
    <t>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Note: This assessment is not the same as the vulnerability scans performed for Requirement 11.2. • Installing an automated technical solution that detects and prevents web-based attacks (for example, a web-application firewall) in front of public-facing web applications, to continually check all traffic.</t>
  </si>
  <si>
    <t>Ensure that security policies and operational procedures for developing and maintaining secure systems and applications are documented, in use, and known to all affected parties.</t>
  </si>
  <si>
    <t>7.x</t>
  </si>
  <si>
    <t>Restrict access to cardholder data by business need to know</t>
  </si>
  <si>
    <t>Limit access to system components and cardholder data to only those individuals whose job requires such access.</t>
  </si>
  <si>
    <t>Define access needs for each role, including: • System components and data resources that each role needs to access for their job function • Level of privilege required (for example, user, administrator, etc.) for accessing resources.</t>
  </si>
  <si>
    <t>Restrict access to privileged user IDs to least privileges necessary to perform job responsibilities.</t>
  </si>
  <si>
    <t>7.1.3</t>
  </si>
  <si>
    <t>Assign access based on individual personnel’s job classification and function.</t>
  </si>
  <si>
    <t>7.1.4</t>
  </si>
  <si>
    <t>Require documented approval by authorized parties specifying required privileges.</t>
  </si>
  <si>
    <t>Establish an access control system(s) for systems components that restricts access based on a user’s need to know, and is set to “deny all” unless specifically allowed. This access control system(s) must include the following:</t>
  </si>
  <si>
    <t>Coverage of all system components</t>
  </si>
  <si>
    <t>Assignment of privileges to individuals based on job classification and function.</t>
  </si>
  <si>
    <t>Default “deny-all” setting.</t>
  </si>
  <si>
    <t>Ensure that security policies and operational procedures for restricting access to cardholder data are documented, in use, and known to all affected parties.</t>
  </si>
  <si>
    <t>8.x</t>
  </si>
  <si>
    <t>Assign a unique ID to each person with computer access</t>
  </si>
  <si>
    <t>Define and implement policies and procedures to ensure proper user identification management for non-consumer users and administrators on all system components as follows:</t>
  </si>
  <si>
    <t>Assign all users a unique ID before allowing them to access system components or cardholder data.</t>
  </si>
  <si>
    <t>Control addition, deletion, and modification of user IDs, credentials, and other identifier objects.</t>
  </si>
  <si>
    <t>Immediately revoke access for any terminated users.</t>
  </si>
  <si>
    <t>Remove/disable inactive user accounts within 90 days.</t>
  </si>
  <si>
    <t>8.1.5</t>
  </si>
  <si>
    <t>Manage IDs used by third parties to access, support, or maintain system components via remote access as follows: • Enabled only during the time period needed and disabled when not in use. • Monitored when in use.</t>
  </si>
  <si>
    <t>8.1.6</t>
  </si>
  <si>
    <t>Limit repeated access attempts by locking out the user ID after not more than six attempts.</t>
  </si>
  <si>
    <t>8.1.7</t>
  </si>
  <si>
    <t>Set the lockout duration to a minimum of 30 minutes or until an administrator enables the user ID.</t>
  </si>
  <si>
    <t>8.1.8</t>
  </si>
  <si>
    <t>If a session has been idle for more than 15 minutes, require the user to re-authenticate to re-activate the terminal or session.</t>
  </si>
  <si>
    <t>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</si>
  <si>
    <t>Using strong cryptography, render all authentication credentials (such as passwords/phrases) unreadable during transmission and storage on all system components.</t>
  </si>
  <si>
    <t>Verify user identity before modifying any authentication credential—for example, performing password resets, provisioning new tokens, or generating new keys.</t>
  </si>
  <si>
    <t>Passwords/passphrases must meet the following: • Require a minimum length of at least seven characters. • Contain both numeric and alphabetic characters. Alternatively, the passwords/passphrases must have complexity and strength at least equivalent to the parameters specified above.</t>
  </si>
  <si>
    <t>8.2.4</t>
  </si>
  <si>
    <t>Change user passwords/passphrases at least once every 90 days.</t>
  </si>
  <si>
    <t>8.2.5</t>
  </si>
  <si>
    <t>Do not allow an individual to submit a new password/passphrase that is the same as any of the last four passwords/passphrases he or she has used.</t>
  </si>
  <si>
    <t>8.2.6</t>
  </si>
  <si>
    <t>Set passwords/passphrases for first-time use and upon reset to a unique value for each user, and change immediately after the first use.</t>
  </si>
  <si>
    <t>Secure all individual non-console administrative access and all remote access to the CDE using multi-factor authentication. Note: Multi-factor authentication requires that a minimum of two of the three authentication methods (see Requirement 8.2 for descriptions of authentication methods) be used for authentication. Using one factor twice (for example, using two separate passwords) is not considered multi-factor authentication.</t>
  </si>
  <si>
    <t>Incorporate multi-factor authentication for all non-console access into the CDE for personnel with administrative access. Note: This requirement is a best practice until January 31, 2018, after which it becomes a requirement.</t>
  </si>
  <si>
    <t>Incorporate multi-factor authentication for all remote network access (both user and administrator, and including third party access for support or maintenance) originating from outside the entity's network.</t>
  </si>
  <si>
    <t>Document and communicate authentication policies and procedures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</si>
  <si>
    <t>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</si>
  <si>
    <t>8.5.1</t>
  </si>
  <si>
    <t>Additional requirement for service providers only: Service providers with remote access to customer premises (for example, for support of POS systems or servers) must use a unique authentication credential (such as a password/phrase) for each customer. Note: This requirement is not intended to apply to shared hosting providers accessing their own hosting environment, where multiple customer environments are hosted.</t>
  </si>
  <si>
    <t>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t>
  </si>
  <si>
    <t>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</si>
  <si>
    <t>Ensure that security policies and operational procedures for identification and authentication are documented, in use, and known to all affected parties.</t>
  </si>
  <si>
    <t>9.x</t>
  </si>
  <si>
    <t>Restrict physical access to cardholder data</t>
  </si>
  <si>
    <t>Use appropriate facility entry controls to limit and monitor physical access to systems in the cardholder data environment.</t>
  </si>
  <si>
    <t>Use either video cameras or access control mechanisms (or both) to monitor individual physical access to sensitive areas. Review collected data and correlate with other entries. Store for at least three months, unless otherwise restricted by law. Note: “Sensitive areas” refers to any data center, server room or any area that houses systems that store, process, or transmit cardholder data. This excludes public-facing areas where only point-of-sale terminals are present, such as the cashier areas in a retail store.</t>
  </si>
  <si>
    <t>Implement physical and/or logical controls to restrict access to publicly accessible network jacks. 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</si>
  <si>
    <t>9.1.3</t>
  </si>
  <si>
    <t>Restrict physical access to wireless access points, gateways, handheld devices, networking/communications hardware, and telecommunication lines.</t>
  </si>
  <si>
    <t>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</si>
  <si>
    <t>Control physical access for onsite personnel to sensitive areas as follows: • Access must be authorized and based on individual job function. • Access is revoked immediately upon termination, and all physical access mechanisms, such as keys, access cards, etc., are returned or disabled.</t>
  </si>
  <si>
    <t>Implement procedures to identify and authorize visitors. Procedures should include the following:</t>
  </si>
  <si>
    <t>Visitors are authorized before entering, and escorted at all times within, areas where cardholder data is processed or maintained.</t>
  </si>
  <si>
    <t>Visitors are identified and given a badge or other identification that expires and that visibly distinguishes the visitors from onsite personnel.</t>
  </si>
  <si>
    <t>Visitors are asked to surrender the badge or identification before leaving the facility or at the date of expiration.</t>
  </si>
  <si>
    <t>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</si>
  <si>
    <t>Physically secure all media.</t>
  </si>
  <si>
    <t>9.5.1</t>
  </si>
  <si>
    <t>Store media backups in a secure location, preferably an off-site facility, such as an alternate or backup site, or a commercial storage facility. Review the location’s security at least annually.</t>
  </si>
  <si>
    <t>Maintain strict control over the internal or external distribution of any kind of media, including the following:</t>
  </si>
  <si>
    <t>9.6.1</t>
  </si>
  <si>
    <t>Classify media so the sensitivity of the data can be determined.</t>
  </si>
  <si>
    <t>9.6.2</t>
  </si>
  <si>
    <t>Send the media by secured courier or other delivery method that can be accurately tracked.</t>
  </si>
  <si>
    <t>9.6.3</t>
  </si>
  <si>
    <t>Ensure management approves any and all media that is moved from a secured area (including when media is distributed to individuals).</t>
  </si>
  <si>
    <t>Maintain strict control over the storage and accessibility of media.</t>
  </si>
  <si>
    <t>9.7.1</t>
  </si>
  <si>
    <t>Properly maintain inventory logs of all media and conduct media inventories at least annually.</t>
  </si>
  <si>
    <t>Destroy media when it is no longer needed for business or legal reasons as follows:</t>
  </si>
  <si>
    <t>9.8.1</t>
  </si>
  <si>
    <t>Shred, incinerate, or pulp hard-copy materials so that cardholder data cannot be reconstructed. Secure storage containers used for materials that are to be destroyed.</t>
  </si>
  <si>
    <t>9.8.2</t>
  </si>
  <si>
    <t>Render cardholder data on electronic media unrecoverable so that cardholder data cannot be reconstructed.</t>
  </si>
  <si>
    <t>Protect devices that capture payment card data via direct physical interaction with the card from tampering and substitution. Note: These requirements apply to card-reading devices used in card-present transactions (that is, card swipe or dip) at the point of sale. This requirement is not intended to apply to manual key-entry components such as computer keyboards and POS keypads.</t>
  </si>
  <si>
    <t>9.9.1</t>
  </si>
  <si>
    <t>Maintain an up-to-date list of devices. The list should include the following: • Make, model of device • Location of device (for example, the address of the site or facility where the device is located) • Device serial number or other method of unique identification.</t>
  </si>
  <si>
    <t>9.9.2</t>
  </si>
  <si>
    <t>Periodically inspect device surfaces to detect tampering (for example, addition of card skimmers to devices), or substitution (for example, by checking the serial number or other device characteristics to verify it has not been swapped with a fraudulent device). Note: Examples of signs that a device might have been tampered with or substituted include unexpected attachments or cables plugged into the device, missing or changed security labels, broken or differently colored casing, or changes to the serial number or other external markings.</t>
  </si>
  <si>
    <t>9.9.3</t>
  </si>
  <si>
    <t>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</si>
  <si>
    <t>9.10</t>
  </si>
  <si>
    <t>Ensure that security policies and operational procedures for restricting physical access to cardholder data are documented, in use, and known to all affected parties.</t>
  </si>
  <si>
    <t>10.x</t>
  </si>
  <si>
    <t>Track and monitor all access to network resources and cardholder data</t>
  </si>
  <si>
    <t>Implement audit trails to link all access to system components to each individual user.</t>
  </si>
  <si>
    <t>Implement automated audit trails for all system components to reconstruct the following events:</t>
  </si>
  <si>
    <t>10.2.1</t>
  </si>
  <si>
    <t>All individual user accesses to cardholder data</t>
  </si>
  <si>
    <t>10.2.2</t>
  </si>
  <si>
    <t>All actions taken by any individual with root or administrative privileges</t>
  </si>
  <si>
    <t>10.2.3</t>
  </si>
  <si>
    <t>Access to all audit trails</t>
  </si>
  <si>
    <t>10.2.4</t>
  </si>
  <si>
    <t>Invalid logical access attempts</t>
  </si>
  <si>
    <t>10.2.5</t>
  </si>
  <si>
    <t>Use of and changes to identification and authentication mechanisms—including but not limited to creation of new accounts and elevation of privileges—and all changes, additions, or deletions to accounts with root or administrative privileges</t>
  </si>
  <si>
    <t>10.2.6</t>
  </si>
  <si>
    <t>Initialization, stopping, or pausing of the audit logs</t>
  </si>
  <si>
    <t>10.2.7</t>
  </si>
  <si>
    <t>Creation and deletion of system-level objects</t>
  </si>
  <si>
    <t>Record at least the following audit trail entries for all system components for each event:</t>
  </si>
  <si>
    <t>10.3.1</t>
  </si>
  <si>
    <t>User identification</t>
  </si>
  <si>
    <t>10.3.2</t>
  </si>
  <si>
    <t>Type of event</t>
  </si>
  <si>
    <t>10.3.3</t>
  </si>
  <si>
    <t>Date and time</t>
  </si>
  <si>
    <t>10.3.4</t>
  </si>
  <si>
    <t>Success or failure indication</t>
  </si>
  <si>
    <t>10.3.5</t>
  </si>
  <si>
    <t>Origination of event</t>
  </si>
  <si>
    <t>10.3.6</t>
  </si>
  <si>
    <t>Identity or name of affected data, system component, or resource.</t>
  </si>
  <si>
    <t>Using time-synchronization technology, synchronize all critical system clocks and times and ensure that the following is implemented for acquiring, distributing, and storing time. Note: One example of time synchronization technology is Network Time Protocol (NTP).</t>
  </si>
  <si>
    <t>10.4.1</t>
  </si>
  <si>
    <t>Critical systems have the correct and consistent time.</t>
  </si>
  <si>
    <t>10.4.2</t>
  </si>
  <si>
    <t>Time data is protected.</t>
  </si>
  <si>
    <t>10.4.3</t>
  </si>
  <si>
    <t>Time settings are received from industry-accepted time sources.</t>
  </si>
  <si>
    <t>Secure audit trails so they cannot be altered.</t>
  </si>
  <si>
    <t>10.5.1</t>
  </si>
  <si>
    <t>Limit viewing of audit trails to those with a job-related need.</t>
  </si>
  <si>
    <t>10.5.2</t>
  </si>
  <si>
    <t>Protect audit trail files from unauthorized modifications.</t>
  </si>
  <si>
    <t>10.5.3</t>
  </si>
  <si>
    <t>Promptly back up audit trail files to a centralized log server or media that is difficult to alter.</t>
  </si>
  <si>
    <t>10.5.4</t>
  </si>
  <si>
    <t>Write logs for external-facing technologies onto a secure, centralized, internal log server or media device.</t>
  </si>
  <si>
    <t>10.5.5</t>
  </si>
  <si>
    <t>Use file-integrity monitoring or change-detection software on logs to ensure that existing log data cannot be changed without generating alerts (although new data being added should not cause an alert).</t>
  </si>
  <si>
    <t>Review logs and security events for all system components to identify anomalies or suspicious activity. Note: Log harvesting, parsing, and alerting tools may be used to meet this Requirement.</t>
  </si>
  <si>
    <t>10.6.1</t>
  </si>
  <si>
    <t>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</si>
  <si>
    <t>10.6.2</t>
  </si>
  <si>
    <t>Review logs of all other system components periodically based on the organization’s policies and risk management strategy, as determined by the organization’s annual risk assessment.</t>
  </si>
  <si>
    <t>10.6.3</t>
  </si>
  <si>
    <t>Follow up exceptions and anomalies identified during the review process.</t>
  </si>
  <si>
    <t>Retain audit trail history for at least one year, with a minimum of three months immediately available for analysis (for example, online, archived, or restorable from backup).</t>
  </si>
  <si>
    <t>Additional requirement for service providers only: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Note: This requirement is a best practice until January 31, 2018, after which it becomes a requirement.</t>
  </si>
  <si>
    <t>10.8.1</t>
  </si>
  <si>
    <t>Additional requirement for service providers only: Respond to failures of any critical security controls in a timely manner. Processes for responding to failures in security controls must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 Note: This requirement is a best practice until January 31, 2018, after which it becomes a requirement.</t>
  </si>
  <si>
    <t>Ensure that security policies and operational procedures for monitoring all access to network resources and cardholder data are documented, in use, and known to all affected parties.</t>
  </si>
  <si>
    <t>11.x</t>
  </si>
  <si>
    <t>Regularly test security systems and processes</t>
  </si>
  <si>
    <t>Implement processes to test for the presence of wireless access points (802.11), and detect and identify all authorized and unauthorized wireless access points on a quarterly basis. Note: 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</si>
  <si>
    <t>Maintain an inventory of authorized wireless access points including a documented business justification.</t>
  </si>
  <si>
    <t>Implement incident response procedures in the event unauthorized wireless access points are detected.</t>
  </si>
  <si>
    <t>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</si>
  <si>
    <t>Perform quarterly internal vulnerability scans. Address vulnerabilities and perform rescans to verify all “high risk” vulnerabilities are resolved in accordance with the entity’s vulnerability ranking (per Requirement 6.1). Scans must be performed by qualified personnel.</t>
  </si>
  <si>
    <t>Perform quarterly external vulnerability scans, via an Approved Scanning Vendor (ASV) approved by the Payment Card Industry Security Standards Council (PCI SSC). Perform rescans as needed, until passing scans are achieved. Note: 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</si>
  <si>
    <t>Perform internal and external scans, and rescans as needed, after any significant change. Scans must be performed by qualified personnel.</t>
  </si>
  <si>
    <t>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t>
  </si>
  <si>
    <t>11.3.1</t>
  </si>
  <si>
    <t>Perform external penetration testing at least annually and after any significant infrastructure or application upgrade or modification (such as an operating system upgrade, a sub-network added to the environment, or a web server added to the environment).</t>
  </si>
  <si>
    <t>11.3.2</t>
  </si>
  <si>
    <t>Perform internal penetration testing at least annually and after any significant infrastructure or application upgrade or modification (such as an operating system upgrade, a sub-network added to the environment, or a web server added to the environment).</t>
  </si>
  <si>
    <t>11.3.3</t>
  </si>
  <si>
    <t>Exploitable vulnerabilities found during penetration testing are corrected and testing is repeated to verify the corrections.</t>
  </si>
  <si>
    <t>11.3.4</t>
  </si>
  <si>
    <t>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</si>
  <si>
    <t>11.3.4.1</t>
  </si>
  <si>
    <t>Additional requirement for service providers only: If segmentation is used, confirm PCI DSS scope by performing penetration testing on segmentation controls at least every six months and after any changes to segmentation controls/methods. Note: This requirement is a best practice until January 31, 2018, after which it becomes a requirement.</t>
  </si>
  <si>
    <t>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</si>
  <si>
    <t>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Note: For change-detection purposes, critical files are usually those that do not regularly change, but the modification of which could indicate a system compromise or risk of compromise. Change-detection mechanisms such as file-integrity monitoring products usually come pre-configured with critical files for the related operating system. Other critical files, such as those for custom applications, must be evaluated and defined by the entity (that is, the merchant or service provider).</t>
  </si>
  <si>
    <t>11.5.1</t>
  </si>
  <si>
    <t>Implement a process to respond to any alerts generated by the change-detection solution.</t>
  </si>
  <si>
    <t>Ensure that security policies and operational procedures for security monitoring and testing are documented, in use, and known to all affected parties.</t>
  </si>
  <si>
    <t>12.x</t>
  </si>
  <si>
    <t>Maintain a policy that addresses information security for all personnel</t>
  </si>
  <si>
    <t>Establish, publish, maintain, and disseminate a security policy.</t>
  </si>
  <si>
    <t>Review the security policy at least annually and update the policy when the environment changes.</t>
  </si>
  <si>
    <t>Implement a risk-assessment process that: • Is performed at least annually and upon significant changes to the environment (for example, acquisition, merger, relocation, etc.), • Identifies critical assets, threats, and vulnerabilities, and • Results in a formal, documented analysis of risk. Examples of risk-assessment methodologies include but are not limited to OCTAVE, ISO 27005 and NIST SP 800-30.</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</si>
  <si>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t>
  </si>
  <si>
    <t>Explicit approval by authorized parties</t>
  </si>
  <si>
    <t>12.3.2</t>
  </si>
  <si>
    <t>Authentication for use of the technology</t>
  </si>
  <si>
    <t>12.3.3</t>
  </si>
  <si>
    <t>A list of all such devices and personnel with access</t>
  </si>
  <si>
    <t>12.3.4</t>
  </si>
  <si>
    <t>A method to accurately and readily determine owner, contact information, and purpose (for example, labeling, coding, and/or inventorying of devices)</t>
  </si>
  <si>
    <t>12.3.5</t>
  </si>
  <si>
    <t>Acceptable uses of the technology</t>
  </si>
  <si>
    <t>12.3.6</t>
  </si>
  <si>
    <t>Acceptable network locations for the technologies</t>
  </si>
  <si>
    <t>12.3.7</t>
  </si>
  <si>
    <t>List of company-approved products</t>
  </si>
  <si>
    <t>12.3.8</t>
  </si>
  <si>
    <t>Automatic disconnect of sessions for remote-access technologies after a specific period of inactivity</t>
  </si>
  <si>
    <t>12.3.9</t>
  </si>
  <si>
    <t>Activation of remote-access technologies for vendors and business partners only when needed by vendors and business partners, with immediate deactivation after use</t>
  </si>
  <si>
    <t>12.3.10</t>
  </si>
  <si>
    <t>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t>
  </si>
  <si>
    <t>Ensure that the security policy and procedures clearly define information security responsibilities for all personnel.</t>
  </si>
  <si>
    <t>Additional requirement for service providers only: Executive management shall establish responsibility for the protection of cardholder data and a PCI DSS compliance program to include: • Overall accountability for maintaining PCI DSS compliance • Defining a charter for a PCI DSS compliance program and communication to executive management Note: This requirement is a best practice until January 31, 2018, after which it becomes a requirement.</t>
  </si>
  <si>
    <t>Assign to an individual or team the following information security management responsibilities:</t>
  </si>
  <si>
    <t>Establish, document, and distribute security policies and procedures.</t>
  </si>
  <si>
    <t>12.5.2</t>
  </si>
  <si>
    <t>Monitor and analyze security alerts and information, and distribute to appropriate personnel.</t>
  </si>
  <si>
    <t>12.5.3</t>
  </si>
  <si>
    <t>Establish, document, and distribute security incident response and escalation procedures to ensure timely and effective handling of all situations.</t>
  </si>
  <si>
    <t>12.5.4</t>
  </si>
  <si>
    <t>Administer user accounts, including additions, deletions, and modifications.</t>
  </si>
  <si>
    <t>12.5.5</t>
  </si>
  <si>
    <t>Monitor and control all access to data.</t>
  </si>
  <si>
    <t>Implement a formal security awareness program to make all personnel aware of the cardholder data security policy and procedures.</t>
  </si>
  <si>
    <t>Educate personnel upon hire and at least annually. Note: Methods can vary depending on the role of the personnel and their level of access to the cardholder data.</t>
  </si>
  <si>
    <t>Require personnel to acknowledge at least annually that they have read and understood the security policy and procedures.</t>
  </si>
  <si>
    <t>Screen potential personnel prior to hire to minimize the risk of attacks from internal sources. (Examples of background checks include previous employment history, criminal record, credit history, and reference checks.) Note: For those potential personnel to be hired for certain positions such as store cashiers who only have access to one card number at a time when facilitating a transaction, this requirement is a recommendation only.</t>
  </si>
  <si>
    <t>Maintain and implement policies and procedures to manage service providers, with whom cardholder data is shared, or that could affect the security of cardholder data, as follows</t>
  </si>
  <si>
    <t>12.8.1</t>
  </si>
  <si>
    <t>Maintain a list of service providers including a description of the service provided.</t>
  </si>
  <si>
    <t>12.8.2</t>
  </si>
  <si>
    <t>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</si>
  <si>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12.8.3</t>
  </si>
  <si>
    <t>Ensure there is an established process for engaging service providers including proper due diligence prior to engagement.</t>
  </si>
  <si>
    <t>12.8.4</t>
  </si>
  <si>
    <t>Maintain a program to monitor service providers’ PCI DSS compliance status at least annually.</t>
  </si>
  <si>
    <t>12.8.5</t>
  </si>
  <si>
    <t>Maintain information about which PCI DSS requirements are managed by each service provider, and which are managed by the entity.</t>
  </si>
  <si>
    <t>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</si>
  <si>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12.10</t>
  </si>
  <si>
    <t>Implement an incident response plan. Be prepared to respond immediately to a system breach.</t>
  </si>
  <si>
    <t>12.10.1</t>
  </si>
  <si>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</si>
  <si>
    <t>12.10.2</t>
  </si>
  <si>
    <t>Review and test the plan, including all elements listed in Requirement 12.10.1, at least annually.</t>
  </si>
  <si>
    <t>12.10.3</t>
  </si>
  <si>
    <t>Designate specific personnel to be available on a 24/7 basis to respond to alerts.</t>
  </si>
  <si>
    <t>12.10.4</t>
  </si>
  <si>
    <t>Provide appropriate training to staff with security breach response responsibilities.</t>
  </si>
  <si>
    <t>12.10.5</t>
  </si>
  <si>
    <t>Include alerts from security monitoring systems, including but not limited to intrusion-detection, intrusion-prevention, firewalls, and file-integrity monitoring systems.</t>
  </si>
  <si>
    <t>12.10.6</t>
  </si>
  <si>
    <t>Develop a process to modify and evolve the incident response plan according to lessons learned and to incorporate industry developments.</t>
  </si>
  <si>
    <t>Additional requirement for service providers only: Perform reviews at least quarterly to confirm personnel are following security policies and operational procedures. Reviews must cover the following processes: • Daily log reviews • Firewall rule-set reviews • Applying configuration standards to new systems • Responding to security alerts • Change management processes Note: This requirement is a best practice until January 31, 2018, after which it becomes a requirement.</t>
  </si>
  <si>
    <t>12.11.1</t>
  </si>
  <si>
    <t>Additional requirement for service providers only: Maintain documentation of quarterly review process to include: • Documenting results of the reviews • Review and sign off of results by personnel assigned responsibility for the PCI DSS compliance program Note: This requirement is a best practice until January 31, 2018, after which it becomes a requirement.</t>
  </si>
  <si>
    <t>PCI Scope</t>
  </si>
  <si>
    <t>All system components included in or connected to the cardholder data environment (CDE)</t>
  </si>
  <si>
    <t>Discovery</t>
  </si>
  <si>
    <t>The process of determining the CDE and subsequent PCI scope</t>
  </si>
  <si>
    <t>PCI Scope, Discovery</t>
  </si>
  <si>
    <t>Scope</t>
  </si>
  <si>
    <t>12.1, Scope</t>
  </si>
  <si>
    <t>12.8, 12.5</t>
  </si>
  <si>
    <t>12.7, 4.2</t>
  </si>
  <si>
    <t>7.x, 8.x</t>
  </si>
  <si>
    <t>2.1, 8.x</t>
  </si>
  <si>
    <t>8.x, 4.2</t>
  </si>
  <si>
    <t>10.1, 10.2, 10.3, 10.5, 10.6, 10.7</t>
  </si>
  <si>
    <t>6.4, 6.4.5, 6.4.5.1, 6.4.5.2</t>
  </si>
  <si>
    <t>6.4, 12.8, 12.9</t>
  </si>
  <si>
    <t>12.1, 12.8</t>
  </si>
  <si>
    <t>12.1, 12.8, 6.2</t>
  </si>
  <si>
    <t>12.2, 12.8</t>
  </si>
  <si>
    <t>12.1, 12.2, 12.8</t>
  </si>
  <si>
    <t>12.10, 12.8, 6.4</t>
  </si>
  <si>
    <t>12.8, 9.x</t>
  </si>
  <si>
    <t>12.8, 4.1</t>
  </si>
  <si>
    <t>11.4, 12.8</t>
  </si>
  <si>
    <t>1.1, 10.8, 10.6, 10.3, 10.2, 11.4</t>
  </si>
  <si>
    <t>12.1, 9.x</t>
  </si>
  <si>
    <t>12.4, 12.5</t>
  </si>
  <si>
    <t>12.6, 6.5</t>
  </si>
  <si>
    <t>6.3.2, 6.4.5.3</t>
  </si>
  <si>
    <t>6.3, 6.3.1</t>
  </si>
  <si>
    <t>12.10, 12.8, 12.9</t>
  </si>
  <si>
    <t>12.6, 7.x, 8.x, 9.x</t>
  </si>
  <si>
    <t>7.x, 8.x, 9.x</t>
  </si>
  <si>
    <t>12.1, 5.4</t>
  </si>
  <si>
    <t>12.1, 12.5, 12.6</t>
  </si>
  <si>
    <t>11.2, 11.3</t>
  </si>
  <si>
    <t>11.2, 12.8</t>
  </si>
  <si>
    <t>12.10, 10.10</t>
  </si>
  <si>
    <t xml:space="preserve">There is a combination of cells that are autopopulated as well as ones to be filled in contained within this worksheet. </t>
  </si>
  <si>
    <t>HECVAT Question Sets</t>
  </si>
  <si>
    <t>GUIDANCE</t>
  </si>
  <si>
    <t>ANALYST REFERENCE</t>
  </si>
  <si>
    <t>QUESTION CONTEXT</t>
  </si>
  <si>
    <t>ANALYST REPORT</t>
  </si>
  <si>
    <t>CROSSWALKS</t>
  </si>
  <si>
    <t>Order</t>
  </si>
  <si>
    <t>Additional Info</t>
  </si>
  <si>
    <t>Standard Guidance</t>
  </si>
  <si>
    <t>No Guidance</t>
  </si>
  <si>
    <t>Yes Guidance</t>
  </si>
  <si>
    <t>Follow-Up Inquiries</t>
  </si>
  <si>
    <t>High Risk</t>
  </si>
  <si>
    <t>Required</t>
  </si>
  <si>
    <t>Category</t>
  </si>
  <si>
    <t>C_Answer</t>
  </si>
  <si>
    <t>V_Answer</t>
  </si>
  <si>
    <t>Analyst Override Answer</t>
  </si>
  <si>
    <t>Compliant</t>
  </si>
  <si>
    <t>Analyst Adjusted Weight</t>
  </si>
  <si>
    <t>Weight</t>
  </si>
  <si>
    <t>CIS Critical Security Controls v6.1</t>
  </si>
  <si>
    <t>HIPAA</t>
  </si>
  <si>
    <t>ISO 27002:27013</t>
  </si>
  <si>
    <t>NIST Cybersecurity Framework</t>
  </si>
  <si>
    <t>NIST SP 800-171r1</t>
  </si>
  <si>
    <t>NIST SP 800-53r4</t>
  </si>
  <si>
    <t>PCI DSS</t>
  </si>
  <si>
    <t>Trusted CI</t>
  </si>
  <si>
    <t>Web Link to Product Privacy Notice</t>
  </si>
  <si>
    <t>Web Link to Accessibility Statement or VPAT</t>
  </si>
  <si>
    <t>Vendor Contact Email</t>
  </si>
  <si>
    <t>Vendor Contact Phone Number</t>
  </si>
  <si>
    <t>Vendor Accessibility Contact Name</t>
  </si>
  <si>
    <t>Vendor Accessibility Contact Title</t>
  </si>
  <si>
    <t>Vendor Accessibility Contact Email</t>
  </si>
  <si>
    <t>Vendor Accessibility Contact Phone Number</t>
  </si>
  <si>
    <t>Determines where shared institutional data will be physically located.</t>
  </si>
  <si>
    <t>Follow-up inquiries will be institution/implementation specific.</t>
  </si>
  <si>
    <t>Determines where vendor employees will be physically located.</t>
  </si>
  <si>
    <t>Does your product process protected health information (PHI) or any data covered by the Health Insurance Portability and Accountability Act?</t>
  </si>
  <si>
    <t>Answer yes if your product handles  Personal Health Information (PHI), either directly or via a third party.</t>
  </si>
  <si>
    <t>Responses to the HIPAA section questions are not required.</t>
  </si>
  <si>
    <t>Responses to the HIPAA section questions are  required.</t>
  </si>
  <si>
    <t>This qualifier determines the presence of PHI in the solution and sets the HIPAA section as required appropriately.</t>
  </si>
  <si>
    <t>Reference the HIPAA section for follow-up review.</t>
  </si>
  <si>
    <t>Will institutional data be shared with or hosted by any third parties? (Any entity not wholly owned by your company is considered a third-party.)</t>
  </si>
  <si>
    <t>The institution views hosted solutions such as AWS, Rackspace, Azure, and other PaaS/SaaS offerings as third parties. If services such as these are used in your environment, respond "Yes."</t>
  </si>
  <si>
    <t>Responses to the Assessment of Third Parties Section section questions are not required.</t>
  </si>
  <si>
    <t>State each third party that institutional data will be shared with and/or hosted by and their level of responsibility.</t>
  </si>
  <si>
    <t>Vendors oftentimes use other vendors to supplement and/or host their infrastructures, and it is important to know what, if any, institutional data is shared with fourth-parties. Responses to this qualifier set the response requirement for the Third Parties section.</t>
  </si>
  <si>
    <t>Reference the Third Parties section for follow-up review.</t>
  </si>
  <si>
    <t>Do you have a well-documented Business Continuity Plan (BCP) that is tested annually?</t>
  </si>
  <si>
    <t>Briefly summarize your response.</t>
  </si>
  <si>
    <t>Provide a reference to your BCP and supporting documentation or submit it along with this fully populated HECVAT.</t>
  </si>
  <si>
    <t>This qualifier determines the existence of a complete, fully populated BCP, maintained by the vendor, and sets the Business Continuity Plan section as required appropriately.</t>
  </si>
  <si>
    <t>Reference the Business Continuity Plan section for follow-up review.</t>
  </si>
  <si>
    <t>Do you have a well-documented Disaster Recovery Plan (DRP) that is tested annually?</t>
  </si>
  <si>
    <t>Provide a reference to your DRP and supporting documentation or submit it along with this fully populated HECVAT.</t>
  </si>
  <si>
    <t>This qualifier determines the existence of a complete, fully populated DRP, maintained by the vendor, and sets the Disaster Recovery Plan section as required appropriately.</t>
  </si>
  <si>
    <t>Reference the Disaster Recovery Plan section for follow-up review.</t>
  </si>
  <si>
    <t>Is the vended product designed to process or store credit card information?</t>
  </si>
  <si>
    <t>Answer yes if your product handles PCI (credit card) information, either directly or via a third party.</t>
  </si>
  <si>
    <t>Responses to the PCI DSS section questions are not required.</t>
  </si>
  <si>
    <t>Based on your "Yes" response, you are required to fill out the PCI DSS section.</t>
  </si>
  <si>
    <t>This qualifier determines the presence of PCI DSS in the solution and sets the PCI DSS section as required appropriately.</t>
  </si>
  <si>
    <t>Reference the PCI DSS section for follow-up review.</t>
  </si>
  <si>
    <t>Does your company provide professional services pertaining to this product?</t>
  </si>
  <si>
    <t>Answer yes if you provide consulting.</t>
  </si>
  <si>
    <t>Responses to the Consulting section questions are not required.</t>
  </si>
  <si>
    <t>Responses to the Consulting section questions are required.</t>
  </si>
  <si>
    <t>When consultants are given access to a system containing institutional data, the "sharing" of data is not in the same context as traditional data sharing (i.e., hosting, etc.) and thus, many of the HECVAT questions do not apply. When consultants have access to a system (onsite of via remote affiliate-type accounts), the Consulting section is most relevant.</t>
  </si>
  <si>
    <t>Reference the Consulting section for follow-up review.</t>
  </si>
  <si>
    <t>Select your hosting option.</t>
  </si>
  <si>
    <t>If you are using an option not listed, or a combination of options, select "Other."</t>
  </si>
  <si>
    <t>Selection here will determine which questions in the Datacenter section are required. Once QUAL-07 is answered, you will see some questions grayed out with a strikethrough on the next; this indicates that response is not required based on your QUAL-07 selection.</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</si>
  <si>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</si>
  <si>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</si>
  <si>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Describe your organization’s business background and ownership structure, including all parent and subsidiary relationships.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</si>
  <si>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</si>
  <si>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</si>
  <si>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</si>
  <si>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Company</t>
  </si>
  <si>
    <t>Have you had an unplanned disruption to this product/service in the past 12 months?</t>
  </si>
  <si>
    <t>Provide a detailed summary of the unplanned disruption.</t>
  </si>
  <si>
    <t>We want transparency from the vendor, and an honest answer to this question, regardless of the response, is a good step in building trust.</t>
  </si>
  <si>
    <t>If a vendor says "No," it is taken at face value. If your organization is capable of conducting reconnaissance, it is encouraged. If a vendor has experienced a breach, evaluate the circumstances of the incident and what the vendor has done in response to the breach.</t>
  </si>
  <si>
    <t>Do you have a dedicated Information Security staff or office?</t>
  </si>
  <si>
    <t>Describe any plans to create an Information Security Office for your organization.</t>
  </si>
  <si>
    <t>Describe your Information Security Office, including size, talents, resources, etc.</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</si>
  <si>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</si>
  <si>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</si>
  <si>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</si>
  <si>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</si>
  <si>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</si>
  <si>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</si>
  <si>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</si>
  <si>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Use this area to share information about your environment that will assist those who are assessing your company data security program.</t>
  </si>
  <si>
    <t>Share any details that would help information security analysts assess your product.</t>
  </si>
  <si>
    <t>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</si>
  <si>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</si>
  <si>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Have you undergone a SSAE 18/SOC 2 audit?</t>
  </si>
  <si>
    <t>Describe any plans to undergo a SSAE 18 audit.</t>
  </si>
  <si>
    <t>Provide the date of assessment and include a SOC 2 Type 2 (preferred) or SOC 3 report. If you have a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</si>
  <si>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</si>
  <si>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</si>
  <si>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Have you completed the Cloud Security Alliance (CSA) self assessment or CAIQ?</t>
  </si>
  <si>
    <t>Describe any plans to complete the CSA self assessment or CAIQ.</t>
  </si>
  <si>
    <t>Please include a copy with your response and include a URL for the published assessment.</t>
  </si>
  <si>
    <t>Many vendors have populated a CAIQ or at least a self-assessment. Although lacking in some areas important to higher education, these documents are useful for supplemental assessment.</t>
  </si>
  <si>
    <t>Follow-up inquiries for CSA content will be institution/implementation specific.</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</si>
  <si>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</si>
  <si>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</si>
  <si>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</si>
  <si>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</si>
  <si>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</si>
  <si>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</si>
  <si>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</si>
  <si>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</si>
  <si>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vendor builds their environment around a standard and that they continually evaluate and assess their security programs.</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</si>
  <si>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</si>
  <si>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Can the systems that hold the institution's data be compliant with NIST SP 800-171 and/or CMMC Level 2 standards?</t>
  </si>
  <si>
    <t>Describe any plans to provide NIST SP 800-171 or CMMC Level 2 services.</t>
  </si>
  <si>
    <t>if you have a third-party hosting provider, please provide how you comply with 800-171 where your third party uses a shared responsibility mode.</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</si>
  <si>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</si>
  <si>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</si>
  <si>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</si>
  <si>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</si>
  <si>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</si>
  <si>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</si>
  <si>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</si>
  <si>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Does your organization have a data privacy policy?</t>
  </si>
  <si>
    <t>Describe your plans to create a data privacy policy.</t>
  </si>
  <si>
    <t>Provide your data privacy document (or a valid link to it) upon submission.</t>
  </si>
  <si>
    <t>Do you have a documented, and currently implemented, employee onboarding and offboarding policy?</t>
  </si>
  <si>
    <t>Provide a reference to your employee onboarding and offboarding policy and supporting documentation or submit it along with this fully populated HECVAT.</t>
  </si>
  <si>
    <t>Managing and protecting a vendor's assets through appropriate human resource management is of upmost importance. Knowing how roles and access controls are implemented (directed by policy) within a vendor's infrastructure during the onboarding and offboarding processes is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</si>
  <si>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</si>
  <si>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</si>
  <si>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</si>
  <si>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</si>
  <si>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</si>
  <si>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Has a VPAT or ACR been created or updated for the product and version under consideration within the past year?</t>
  </si>
  <si>
    <t>If your answer is "I do not know," select "No." If the VPAT/ACR is for an older version of the product or has not been updated, its information does not accurately reflect accessibility of the product under consideration.</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</si>
  <si>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</si>
  <si>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</si>
  <si>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</si>
  <si>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</si>
  <si>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Do you have documentation to support the accessibility features of your product?</t>
  </si>
  <si>
    <t>Provide plans for any documentation that would make accessible content, features, and functions easily knowable by end users.</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</si>
  <si>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</si>
  <si>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</si>
  <si>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In-development</t>
  </si>
  <si>
    <t>Has a third-party expert conducted an audit of the most recent version of your product?</t>
  </si>
  <si>
    <t>Please provide plans (when and by whom) any audit is planned, if any or rationale if not.</t>
  </si>
  <si>
    <t>State when the audit was conducted and by whom. Include the results in your submission and/or link to its web location.</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</si>
  <si>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</si>
  <si>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IT Accessibility</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</si>
  <si>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</si>
  <si>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</si>
  <si>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</si>
  <si>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</si>
  <si>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Have you adopted a technical or legal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</si>
  <si>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</si>
  <si>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</si>
  <si>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</si>
  <si>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</si>
  <si>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</si>
  <si>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</si>
  <si>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</si>
  <si>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</si>
  <si>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</si>
  <si>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</si>
  <si>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</si>
  <si>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</si>
  <si>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</si>
  <si>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</si>
  <si>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</si>
  <si>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</si>
  <si>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</si>
  <si>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</si>
  <si>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</si>
  <si>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Indicate a plan to test the product; develop a roadmap for keyboard accessibility or any further context.</t>
  </si>
  <si>
    <t>State when and on which platform this was verified.</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</si>
  <si>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</si>
  <si>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</si>
  <si>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Describe any feature differences between standard and accessible modes along with any timelines or plans to merge products into a universally designed platform.</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</si>
  <si>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</si>
  <si>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Do you perform security assessments of third-party companies with which you share data? (e.g., hosting providers, cloud services, PaaS, IaaS, SaaS)</t>
  </si>
  <si>
    <t>State your plans to perform security assessments of third-party companies.</t>
  </si>
  <si>
    <t>Provide a summary of your practices that assures that the third party will be subject to the appropriate standards regarding security, service recoverability, and confidentiality.</t>
  </si>
  <si>
    <t>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t>
  </si>
  <si>
    <t>Follow up with a robust question set if the vendor cannot clearly state full control of the integrity of their system(s). Questions about administrator access on end-user devices and other maintenance and patching type questions are appropriate.</t>
  </si>
  <si>
    <t>Third-Parties</t>
  </si>
  <si>
    <t>Provide a brief description for why each of these third parties will have access to institutional data.</t>
  </si>
  <si>
    <t>List each third party and why institutional data is shared with them. Format example: [Vendor] - Reason</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</si>
  <si>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</si>
  <si>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</si>
  <si>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What legal agreements (i.e., contracts) do you have in place with these third parties that address liability in the event of a data breach?</t>
  </si>
  <si>
    <t>Knowing the protections and legal agreements in place for third-party data sharing may assists analysts in determininng residual risk.</t>
  </si>
  <si>
    <t>Follow-up inquiries concerning legal agreements with third-parties will be institution/implementation specific.</t>
  </si>
  <si>
    <t>Do you have an implemented third-party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</si>
  <si>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</si>
  <si>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</si>
  <si>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</si>
  <si>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</si>
  <si>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If "No," inquire if there are plans to implement these processes. Ask the vendor to summarize their decision behind not scanning their assets for vulnerabilities. Be sure that the vendor answers for both systems AND applications. Do not let good practices in one overshadow deficiencies in the other.</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</si>
  <si>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</si>
  <si>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</si>
  <si>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</si>
  <si>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</si>
  <si>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</si>
  <si>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</si>
  <si>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Will the consulting take place on-premises?</t>
  </si>
  <si>
    <t>Consultants are often used to implement, maintain, fix, and assessment technology environments. In these cases, third-party consultants have access to institutional data, and appropriate access, whether remote or onsite, must be protected during the consulting engagement.</t>
  </si>
  <si>
    <t>Consulting</t>
  </si>
  <si>
    <t>Will the consultant require access to the institution's network resources?</t>
  </si>
  <si>
    <t>Will the consultant require access to hardware in the institution's data centers?</t>
  </si>
  <si>
    <t>Will the consultant require an account within the institution's domain (@*.edu)?</t>
  </si>
  <si>
    <t>Has the consultant received training on (sensitive, HIPAA, PCI, etc.) data handling?</t>
  </si>
  <si>
    <t>Will any data be transferred to the consultant's possession?</t>
  </si>
  <si>
    <t>No need to answer CONS-07</t>
  </si>
  <si>
    <t>Is it encrypted (at rest) while in the consultant's possession?</t>
  </si>
  <si>
    <t>Will the consultant need remote access to the institution's network or systems?</t>
  </si>
  <si>
    <t>No need to answer CONS-09</t>
  </si>
  <si>
    <t>Can we restrict that access based on source IP address?</t>
  </si>
  <si>
    <t>Are access controls for institutional accounts based on structured rules, such as role-based access control (RBAC), attribute-based access control (ABAC), or policy-based access control (PBAC)?</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</si>
  <si>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</si>
  <si>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</si>
  <si>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</si>
  <si>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t>
  </si>
  <si>
    <t>Ask the vendor to summarize the best practices to restrict/control the access given to the institution's end users without the use of RBAC. Make sure to understand the administrative requirements/overhead introduced in the vendor's environment.</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</si>
  <si>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</si>
  <si>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</si>
  <si>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</si>
  <si>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Managing a software/product/service may rely on various professionals to administer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</si>
  <si>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</si>
  <si>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</si>
  <si>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</si>
  <si>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</si>
  <si>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</si>
  <si>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product(s) roadmap, and try to understand how they prioritize security concerns in their environment.</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</si>
  <si>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</si>
  <si>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</si>
  <si>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</si>
  <si>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</si>
  <si>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If a vendors states that they outsource their code development and do not run a WAF, there is elevated reason for concern. Verify how code is tested, monitored, and controlled in production environments.</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</si>
  <si>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</si>
  <si>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</si>
  <si>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</si>
  <si>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</si>
  <si>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</si>
  <si>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Are only currently supported operating system(s), software, and libraries leveraged by the system(s)/application(s) that will have access to institution's data?</t>
  </si>
  <si>
    <t>If the web application only works with a subset of modern supported browsers, please indicate that here.</t>
  </si>
  <si>
    <t>State your plan to migrate to supported operating systems, libraries, and software.</t>
  </si>
  <si>
    <t>Please provide a list of all required dependencies.</t>
  </si>
  <si>
    <t>Vendor responses to this question provide clarity on environment constraints that may exist and/or influence future development, configurations, infrastructure, etc. Although the vendor response may not directly affect end-users, the risks of the underlying infrastructure are better understood.</t>
  </si>
  <si>
    <t>Follow-up inquiries for operating systems leveraged by the vendor will be institution/implementation specific.</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</si>
  <si>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</si>
  <si>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</si>
  <si>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</si>
  <si>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</si>
  <si>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</si>
  <si>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Ask the vendor why this deployment strategy is used. Ask if it is a restriction of the app store platform or some other environment restriction.</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</si>
  <si>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</si>
  <si>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</si>
  <si>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</si>
  <si>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</si>
  <si>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 xml:space="preserve">Ask the vendor about the need for this requirement, and understand any mitigation strategies that may be possible. </t>
  </si>
  <si>
    <t>Does your application provide separation of duties between security administration, system administration, and standard user functions?</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</si>
  <si>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</si>
  <si>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</si>
  <si>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Managing a software/product/service may rely on various teams to administrate a system. In this question, it is security operations and systems administration. This question is focused on how system(s) administration, and the segregation of duties, are implemented in the vendor's organization, so that system administrators do not also have security responsibilities (e.g., monitoring, mitigating, reporting, etc.).</t>
  </si>
  <si>
    <t>Ask the vendor to summarize their best practices for securing their system(s) administratively without the use of RBAC. Make sure to understand the administrative requirements/overhead introduced in the vendor's environment.</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</si>
  <si>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</si>
  <si>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</si>
  <si>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</si>
  <si>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Protecting administrative accounts is crucial to maintaining system integrity in any environment. This question is targeting privilege creep and unmanaged privileged acccounts to determine if the vendor properly manages access control in their application/system environments.</t>
  </si>
  <si>
    <t xml:space="preserve">Ask the vendor to summarize their implemented policies and/or procedures  </t>
  </si>
  <si>
    <t>Have your developers been trained in secure coding techniques?</t>
  </si>
  <si>
    <t>State plans to implement a training program on industry standard secure coding practices.</t>
  </si>
  <si>
    <t>Summarize your secure coding training.</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</si>
  <si>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</si>
  <si>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</si>
  <si>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Was your application developed using secure coding techniques?</t>
  </si>
  <si>
    <t>State plans to update your application to adhere to industry secure coding practices.</t>
  </si>
  <si>
    <t>Summarize your secure coding practices.</t>
  </si>
  <si>
    <t>Do you subject your code to static code analysis and/or static application security testing prior to release?</t>
  </si>
  <si>
    <t>State your plans to implement static code testing practices into your environment.</t>
  </si>
  <si>
    <t>Provide a list of all tools utilized during static code analysis or static application security testing.</t>
  </si>
  <si>
    <t>Code analysis (prior to implementation) can decrease the number of vulnerabilities within a system. Depending on the insight a vendor has into their code, code testing should be expected. When a vendor outsources their coding efforts, the use of a web application firewall may be appropriate. In this case, reference the vendor's response to their use of a WAF.</t>
  </si>
  <si>
    <t>Ask the vendor what types of tools they use in testing and who performs the testing of the code. Are developers the ones running the security tests? If static code analysis and/or static application security testing is not conducted, point the vendor to OWASP's Testing Guide at https://www.owasp.org/index.php/OWASP_Testing_Guide_v4_Table_of_Contents</t>
  </si>
  <si>
    <t>Do you have software testing processes (dynamic or static) that are established and followed?</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</si>
  <si>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</si>
  <si>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</si>
  <si>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 xml:space="preserve">Code analysis (prior to implementation) can decrease the number of vulnerabilities within a system. Depending on the insight a vendor has into their code, code testing should be expected. </t>
  </si>
  <si>
    <t>If software testing processes are not established and followed, point the vendor to OWASP's Testing Guide at https://www.owasp.org/index.php/OWASP_Testing_Guide_v4_Table_of_Contents</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</si>
  <si>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</si>
  <si>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</si>
  <si>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</si>
  <si>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</si>
  <si>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</si>
  <si>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</si>
  <si>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Does your solution support local authentication protocols for user and administrator authentication?</t>
  </si>
  <si>
    <t>Describe any plans to support local authentication modes.</t>
  </si>
  <si>
    <t>Provide a detailed description of your local authentication mode practices.</t>
  </si>
  <si>
    <t xml:space="preserve">The purpose of this question is understand the vendor's authentication infrastructure so that additional questions can be formulated for the institution's use case. </t>
  </si>
  <si>
    <t>The content of this response may or may not have value for the type of use case on the institution. Follow-up inquiries for authentication modes will be institution/implementation specific.</t>
  </si>
  <si>
    <t>Can you enforce password/passphrase aging requirements?</t>
  </si>
  <si>
    <t>Describe plans to support password/passphrase aging requirements.</t>
  </si>
  <si>
    <t>Describe how aging requirements are implemented in the product.</t>
  </si>
  <si>
    <t>This question is primarily focused on account management capabilities that are built into a system. Although aging is not always required, a system that lacks commodity functionality may be lacking in other areas as well. Use the vendor's response to this question as a way to pivot to other questions, as needed.</t>
  </si>
  <si>
    <t>The value of this question depends on your institution's policy on passwords, its use of 2FA, or any number of factors. Follow-ups for this question are unique to the institution.</t>
  </si>
  <si>
    <t>Can you enforce password/passphrase complexity requirements (provided by the institution)?</t>
  </si>
  <si>
    <t>Describe plans to support password/passphrase complexity requirements.</t>
  </si>
  <si>
    <t>Describe how password/passphrase complexity requirements are implemented in the product.</t>
  </si>
  <si>
    <t>Many institutions have policy focused on passwords/passphrases, and this question confirms the capacity of a vendor's software/product/service to comply.</t>
  </si>
  <si>
    <t>Follow-up inquiries for password/passphrase complexity requirements will be institution/implementation specific.</t>
  </si>
  <si>
    <t>Does the system have password complexity or length limitations and/or restrictions?</t>
  </si>
  <si>
    <t>Answer "Yes" if your product has internal limits to password complexity (max langth, certain special characters unsupported, etc.).</t>
  </si>
  <si>
    <t>Describe these limitations and/or restrictions and state what lengths and complexities are supported.</t>
  </si>
  <si>
    <t>Follow-up inquiries for password/passphrase limitations and/or restrictions will be institution/implementation specific.</t>
  </si>
  <si>
    <t>Do you have documented password/passphrase reset procedures that are currently implemented in the system and/or customer support?</t>
  </si>
  <si>
    <t>Describe your plans to document system password/passphrase reset procedures.</t>
  </si>
  <si>
    <t>Describe your documented password/passphrase reset procedures that are currently implemented in the system and/or customer support.</t>
  </si>
  <si>
    <t xml:space="preserve">Account management can be a time-consuming part of an information system. Account reset capabilities, built into a system, can reduce burden on institutional support services. </t>
  </si>
  <si>
    <t>Ask the vendor how end users will be supported. Ask for training documentation or knowledgebase content. Confirm vendor and institution responsibilities in this support area (and others).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</si>
  <si>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</si>
  <si>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</si>
  <si>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</si>
  <si>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</si>
  <si>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 up with maturity questions and ask about other commodity type functions or other system requirements your institution may have.</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</si>
  <si>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</si>
  <si>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</si>
  <si>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</si>
  <si>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If a vendor indicates that a system is stand-alone and cannot integrate with the institution's infrastructure, follow up with maturity questions and ask about other commodity type functions or other system requirements your institution may have.</t>
  </si>
  <si>
    <t>Does your solution support any of the following web SSO standards? [e.g.,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</si>
  <si>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</si>
  <si>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</si>
  <si>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</si>
  <si>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</si>
  <si>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</si>
  <si>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</si>
  <si>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</si>
  <si>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</si>
  <si>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</si>
  <si>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</si>
  <si>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If you don't support SSO, does your application and/or user-frontend/portal support multi-factor authentication? (e.g., Duo, Google Authenticator, OTP, etc.)</t>
  </si>
  <si>
    <t>Describe any plans to support multi-factor authentication in your application.</t>
  </si>
  <si>
    <t>List all supported multi-factor authentication methods, technologies, and/or products and provide a brief summary of each.</t>
  </si>
  <si>
    <t xml:space="preserve">2FA/MFA, implemented correctly, strengthens the security state of a system. 2FA/MFA is commonly implemented and in many use cases is a requirement for account protection purposes. </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</si>
  <si>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</si>
  <si>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</si>
  <si>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</si>
  <si>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</si>
  <si>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</si>
  <si>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</si>
  <si>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Are there any passwords/passphrases hard-coded into your systems or products?</t>
  </si>
  <si>
    <t>Provide a detailed description of passwords/passphrases hard-coded into your systems or products.</t>
  </si>
  <si>
    <t xml:space="preserve">The response to this question can reveal the use (or not) of coding best practices. If passwords/passphrases are hard-coded into systems/productions, the vendor should provide robust details supporting why this is required. </t>
  </si>
  <si>
    <t>Vague responses to this question should be met with concern. Repeat the question if first answer insufficiently - ask pointedly to ensure the vendor is not misunderstood.</t>
  </si>
  <si>
    <t>Are you storing any passwords in plaintext?</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</si>
  <si>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</si>
  <si>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</si>
  <si>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</si>
  <si>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Does your application support directory integration for user accounts?</t>
  </si>
  <si>
    <t>Describe any plans to support external authentication services in place of local authentication.</t>
  </si>
  <si>
    <t>Describe all authentication services supported by the system.</t>
  </si>
  <si>
    <t>System (technical and security) administration is complex, and it is important to understand a system's capabilities to integrate with existing security and access systems. Having to maintain additional accounts increases overhead and may impact your institution's risk footprint.</t>
  </si>
  <si>
    <t>Follow-up inquiries for system authentication will be unique to your institution (e.g., policy, infrastructure, etc.)</t>
  </si>
  <si>
    <t>Are audit logs available that include AT LEAST all of the following: login, logout, actions performed,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</si>
  <si>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</si>
  <si>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</si>
  <si>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</si>
  <si>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</si>
  <si>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Ensure that all elements of AAAI-18 are clearly stated in your response.</t>
  </si>
  <si>
    <t xml:space="preserve">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 </t>
  </si>
  <si>
    <t>Describe or provide a reference to the retention period for those logs, how logs are protected, and whether they are accessible to the customer (and if so, how).</t>
  </si>
  <si>
    <t>Ensure that all elements of AAAI-19 are clearly stated in your response.</t>
  </si>
  <si>
    <t>There are multiple components of this question. When assessing, ensure that the vendor responds to them all. Logs that are not properly managed may not be available when needed. The purpose of this question is to ensure that the vendor has a proper security mindset to ensure proper monitoring practices.</t>
  </si>
  <si>
    <t>Follow-up inquiries for logging details will be institution/implementation specific.</t>
  </si>
  <si>
    <t>Is an owner assigned who is responsible for the maintenance and review of the Business Continuity Plan?</t>
  </si>
  <si>
    <t>Describe any plans to define a BCP owner responsible for maintenance and review.</t>
  </si>
  <si>
    <t>Provide additional details, as needed.</t>
  </si>
  <si>
    <t>Having a BCP and maintaining/updating/testing a BCP are very different. Establishing a responsible party is fundamental to this process, and this question looks to verify that within the vendor.</t>
  </si>
  <si>
    <t>Follow-up inquiries for BCP responsible parties will be institution/implementation specific.</t>
  </si>
  <si>
    <t>Business Continuity Plan</t>
  </si>
  <si>
    <t>Is there a defined problem/issue escalation plan in your BCP for impacted clients?</t>
  </si>
  <si>
    <t>Describe any plans to define a problem/issue escalation plan in your BCP.</t>
  </si>
  <si>
    <t>Summarize your defined problem/issue escalation plan contained in your BCP.</t>
  </si>
  <si>
    <t>Notification expectations should be set early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</si>
  <si>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</si>
  <si>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Is there a documented communication plan in your BCP for impacted clients?</t>
  </si>
  <si>
    <t>Describe any plans to document a communication plan in your BCP.</t>
  </si>
  <si>
    <t>Summarize your documented communication plan contained in your BCP.</t>
  </si>
  <si>
    <t>Are all components of the BCP reviewed at least annually and updated as needed to reflect change?</t>
  </si>
  <si>
    <t>Describe any plans to annually review and update (as needed) your BCP.</t>
  </si>
  <si>
    <t>Describe your BCP component review strategy.</t>
  </si>
  <si>
    <t>It is expected that a vendor will maintain an accurate BCP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</si>
  <si>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</si>
  <si>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Are specific crisis management roles and responsibilities defined and documented?</t>
  </si>
  <si>
    <t>State your plans to define and document crisis management roles and responsibilities.</t>
  </si>
  <si>
    <t>Summarize these crisis management roles and responsibilities.</t>
  </si>
  <si>
    <t>As it relates to BCPs, a vendor's response will provide insight into their ability to properly response to business threats. A vendor that has not previously defined responsible parties and outlined realistic plans may not maintain the availability needed for the institution's use case or business requirement.</t>
  </si>
  <si>
    <t>Follow-up inquiries for BCP roles and responsibility details will be institution/implementation specific.</t>
  </si>
  <si>
    <t>Does your organization conduct training and awareness activities to validate its employees' understanding of their roles and responsibilities during a crisis?</t>
  </si>
  <si>
    <t>State your plans to implement training and awareness activities focused on roles and responsibilities during a crisis.</t>
  </si>
  <si>
    <t>Describe your training and awareness activities.</t>
  </si>
  <si>
    <t>Understanding the maturity of a vendor's training and awareness program will indicate the value they place on protecting institutional data. BCP-related awareness training should be prevalent, continuous, and well-documented.</t>
  </si>
  <si>
    <t>If a vendor's BCP training and awareness activities are insufficient, inquire about other mandatory training, verify its scope, and confirm the training cycles.</t>
  </si>
  <si>
    <t>Does your organization have an alternative business site or a contracted Business Recovery provider?</t>
  </si>
  <si>
    <t>Describe your plans to coordinate an alternative business site or contract with a business recovery provider?</t>
  </si>
  <si>
    <t>Provide the distance (in miles) between the primary and secondary locations.</t>
  </si>
  <si>
    <t>In the event that a vendor's headquarters (primary location of operation) is no longer usable, an alternative business site may be needed to support business operations. Having an established (planned) alternative business site show maturity in a vendor's BCP.</t>
  </si>
  <si>
    <t>Follow-up inquiries for alternative business site practices will be institution/implementation specific.</t>
  </si>
  <si>
    <t>Does your organization conduct an annual test of relocating to an alternate site for business recovery purposes?</t>
  </si>
  <si>
    <t>Describe your strategy to implement annual alternate site relocation testing.</t>
  </si>
  <si>
    <t>State the date of your last alternate site relocation test.</t>
  </si>
  <si>
    <t>Testing a BCP is an important action that improves the efficiency and accuracy of a vendor's continuity plans. Vague responses to this question should be met with concern and appropriate follow-up, based on your institutions risk tolerance.</t>
  </si>
  <si>
    <t>Is this product a core service of your organization and, as such, the top priority during business continuity planning?</t>
  </si>
  <si>
    <t>Summarize this product's restoration priority in your BCP.</t>
  </si>
  <si>
    <t>Provide a brief summary to support your selection.</t>
  </si>
  <si>
    <t xml:space="preserve">The purpose of this question is to understand the vendor's order of response if affected by a unplanned business disruption. If the software/product/service being assessed is a vendor's core moneymaker, the probability is that restoration of the software/product/service will be top priority. </t>
  </si>
  <si>
    <t>If it is not a core service, follow-up questions should be availability focused and institution/implementation specific.</t>
  </si>
  <si>
    <t>Are all services that support your product fully redundant?</t>
  </si>
  <si>
    <t>State plans to make tertiary services redundant (or why not needed).</t>
  </si>
  <si>
    <t>Describe or provide references explaining how tertiary services are redundant (i.e., DNS, ISP, etc.).</t>
  </si>
  <si>
    <t xml:space="preserve">In the context of the CIA triad, this question is focused on the availability of a system (or set of systems). </t>
  </si>
  <si>
    <t>The weight placed on the vendor's response will be specific to the institution's use case and software/product/service requirements.</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</si>
  <si>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</si>
  <si>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</si>
  <si>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Indicate all procedures that are implemented in your CMP. (a) An impact analysis of the upgrade is performed. (b) The change is appropriately authorized. (c) Changes are made first in a test environment. (d) The ability to implement the upgrades/changes in the production environment is limited to appropriate IT personnel.</t>
  </si>
  <si>
    <t>This question outlines a mature Change Management process.  Changes should be analyzed for impact, officially approved, tested, and performed by authorized users.</t>
  </si>
  <si>
    <t>If the vendor's response does not cover the details outlined in the reasoning, follow-up and get specific responses, as needed.</t>
  </si>
  <si>
    <t>Does your Change Management process also verify that all required third-party libraries and dependencies are still supported with each major change?</t>
  </si>
  <si>
    <t>Please describe any plans to implement third-party library dependancy tracking.</t>
  </si>
  <si>
    <t>Please describe your program to track these dependancies.</t>
  </si>
  <si>
    <t>This question is fundamentally about supply chain. The vendor should be able to document its procedures around tracking third-party maintained libraries.</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</si>
  <si>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</si>
  <si>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</si>
  <si>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</si>
  <si>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</si>
  <si>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Do clients have the option to not participate in or postpone an upgrade to a new release?</t>
  </si>
  <si>
    <t>Summarize why clients do not have alternative release options.</t>
  </si>
  <si>
    <t>Provide reference the the process/procedure to manage releases.</t>
  </si>
  <si>
    <t xml:space="preserve">Unplanned and/or unexpected changes in a complex environment can introduce intolerable risks to the institution. Based on the operating environment of the institution, it may be necessary to postpone (or properly plan) the change to a system. The vendor's response should clarify their use of a "one code base" method or the ability to run multiple versions concurrently. </t>
  </si>
  <si>
    <t>Follow-up inquiries for software/product/service version releases will be institution/implementation specific.</t>
  </si>
  <si>
    <t>Do you have a fully implemented solution support strategy that defines how many concurrent versions you support?</t>
  </si>
  <si>
    <t>List the current version you support and what percentage of customers are utilizing that version.</t>
  </si>
  <si>
    <t>Clarify the lack of support strategy for concurrent versions in your product/service.</t>
  </si>
  <si>
    <t>Describe or provide a reference to your solution support strategy in regard to maintaining software currency (i.e., how many concurrent versions are you willing to run and support?).</t>
  </si>
  <si>
    <t xml:space="preserve">Supporting multiple versions of a product is challenging. Understanding the vendor’s strategy and resources will provide insight into their ability to adequately support their customers.  </t>
  </si>
  <si>
    <t>Follow-up inquiries for the vendor’s support of concurrent versions will be institution/implementation specific.</t>
  </si>
  <si>
    <t>Does the system support client customizations from one release to another?</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</si>
  <si>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</si>
  <si>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</si>
  <si>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</si>
  <si>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 xml:space="preserve">The vendor's software/product/service characteristics and the institution's use case will determine the relevancy of this question. The purpose of this question is to understand the underlying infrastructure and how it is maintained across all customers. </t>
  </si>
  <si>
    <t>In cases where the software/product/service is customized for customer use cases, ensure the vendor's response covers all aspects of code migration, including backups, data conversions, local resources from the institution, etc., as it relates to code upgrades and/or version adoptions.</t>
  </si>
  <si>
    <t>Do you have a release schedule for product updates?</t>
  </si>
  <si>
    <t>State any plans to release a schedule of product updates.</t>
  </si>
  <si>
    <t>Provide a reference to this product's release schedule.</t>
  </si>
  <si>
    <t xml:space="preserve">Answers to this question will reveal the vendor’s ability to plan in the short term. This is valuable information for customers so they can anticipate updates and potential bug fixes. </t>
  </si>
  <si>
    <t>Follow-up inquiries for the vendor’s product update practices will be institution/implementation specific.</t>
  </si>
  <si>
    <t>Do you have a technology roadmap, for at least the next two years, for enhancements and bug fixes for the product/service being assessed?</t>
  </si>
  <si>
    <t>State any plans to release a technology roadmap covering the next two years.</t>
  </si>
  <si>
    <t>Provide a reference to your technology roadmap.</t>
  </si>
  <si>
    <t>Answers to this question will reveal the vendor’s ability to plan for the future of their product.</t>
  </si>
  <si>
    <t>Follow-up inquiries for the vendor’s technology planning practices will be institution/implementation specific.</t>
  </si>
  <si>
    <t>Is institutional involvement (i.e., technically or organizationally) required during product updates?</t>
  </si>
  <si>
    <t>Summarize the institution's responsibilities during product updates.</t>
  </si>
  <si>
    <t>The response to this question allows the institution to understand the information technology resources required to properly maintain the vendor's system. Initial acquisition and setup is important to assess, but the long-term maintenance (and the risks that come with it) should be clearly defined. Use the response to this question to pivot to other questions and/or verify other vendor responses.</t>
  </si>
  <si>
    <t>Vague responses to this question should be investigated further. Ask for additional documentation for customer responsibilities (in the context of information technology/security).</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</si>
  <si>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</si>
  <si>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</si>
  <si>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</si>
  <si>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Answers to this question will reveal the vendor’s knowledge of their IT assets and their ability to respond to notifications about their systems and software.</t>
  </si>
  <si>
    <t>Follow-up inquiries for the vendor’s patching practices will be institution/implementation specific.</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</si>
  <si>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</si>
  <si>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</si>
  <si>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</si>
  <si>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</si>
  <si>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Follow-up inquiries for the vendors patching practices will be institution/implementation specific.</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</si>
  <si>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</si>
  <si>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</si>
  <si>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</si>
  <si>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</si>
  <si>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</si>
  <si>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</si>
  <si>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</si>
  <si>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 xml:space="preserve">In the context of the CIA triad, this question is focused on system integrity, ensuring that system changes are only executed by authorized users. In the event of emergency changes, accountability and post-action review is expected. </t>
  </si>
  <si>
    <t>Follow-up with a robust question set if a vendor cannot clearly state full control of the integrity of their system(s).</t>
  </si>
  <si>
    <t>Do you have an implemented system configuration management process? (e.g.,secure "gold" images, etc.)</t>
  </si>
  <si>
    <t>Describe how system configuration management is currently handled in your environment.</t>
  </si>
  <si>
    <t>Summarize your implemented system configuration management precess.</t>
  </si>
  <si>
    <t xml:space="preserve">Hardware lifecycles and continuous software updates creates an always-changing landscape in information technology. The focus of this question is the integrity of a vendor's infrastructure. Mismanagement of system configurations can lead to breakdowns in layers of security. </t>
  </si>
  <si>
    <t>It is expected that vendors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</si>
  <si>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</si>
  <si>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</si>
  <si>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</si>
  <si>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Systems Management &amp; Configuration</t>
  </si>
  <si>
    <t>Does the environment provide for dedicated single-tenant capabilities? If not, describe how your product or environment separates data from different customers (e.g., logically, physically, single tenancy, multi-tenancy).</t>
  </si>
  <si>
    <t>Describe your plan to separate institution data from that of other customers.</t>
  </si>
  <si>
    <t>Describe or provide a reference to how institution data is separated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</si>
  <si>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</si>
  <si>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Follow-up inquiries for dedicated single-tenant capabilities will be institution/implementation specific.</t>
  </si>
  <si>
    <t>Will the institution's data be stored on any devices (database servers, file servers, SAN, NAS, etc.) configured with non-RFC 1918/4193 (i.e., publicly routable) IP addresses?</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</si>
  <si>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</si>
  <si>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</si>
  <si>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Ask the vendor about their infrastructure and if there is a solution that eliminates the need for this environment.</t>
  </si>
  <si>
    <t>Is sensitive data encrypted, using secure protocols/algorithms, in transport?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</si>
  <si>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</si>
  <si>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</si>
  <si>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end-users of the software/product/service.</t>
  </si>
  <si>
    <t>Follow-up inquiries for data encryption between the system and end-users will be institution/implementation specific.</t>
  </si>
  <si>
    <t>Is sensitive data encrypted, using secure protocols/algorithms, in storage? (e.g., disk encryption, at-rest, files, and within a running database)</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</si>
  <si>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</si>
  <si>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</si>
  <si>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</si>
  <si>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</si>
  <si>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Do all cryptographic modules in use in your product conform to the Federal Information Processing Standards (FIPS PUB 140-3)?</t>
  </si>
  <si>
    <t>Provide a detailed description of all non-conforming modules.</t>
  </si>
  <si>
    <t xml:space="preserve">Provide reference to FIPS 140-3 validation certificates. </t>
  </si>
  <si>
    <t>Beware the use of proprietary encryption implementations. Open standard encryption, preferably mature, is often preferred. Although there may be cases in which that is not the case, be sure to understand the vendor's infrastructure and the true security of a vendor's solution.</t>
  </si>
  <si>
    <t xml:space="preserve">If the vendor cannot accommodate open standards encryption requirements, direct them to NIST's Cryptographic Standards and Guidelines document at https://csrc.nist.gov/Projects/Cryptographic-Standards-and-Guidelines </t>
  </si>
  <si>
    <t>At the completion of this contract, will data be returned to the institution and deleted from all your systems and archives?</t>
  </si>
  <si>
    <t>State plans to implement capabilities for the Institution to retrieve their data.</t>
  </si>
  <si>
    <t>State the length of time that the institution's data will be available in the system at the completion of the contract.</t>
  </si>
  <si>
    <t>When cancelling a software/product/service, an institution will commonly want all institutional data that was provided to a vendor. This questions allows the vendor to state their general practices when a customer leaves their environment.</t>
  </si>
  <si>
    <t>A vendor's response should be clear and concise. Be wary of vague responses to this questions and inquire about export specifics, as needed.</t>
  </si>
  <si>
    <t>Will the institution's data be available within the system for a period of time at the completion of this contract?</t>
  </si>
  <si>
    <t>Describe your data export procedures conducted at the termination of contract.</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</si>
  <si>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</si>
  <si>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</si>
  <si>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</si>
  <si>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</si>
  <si>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Are ownership rights to all data, inputs, outputs, and metadata retained by the institution?</t>
  </si>
  <si>
    <t>Describe in detail why ownership rights are not retained by the institution.</t>
  </si>
  <si>
    <t>Provide reference to your data ownership documention.</t>
  </si>
  <si>
    <t>This question clarifies the operating model of a vendor and provides insight into the vendor-customer paradigm of a company. Knowing if the institution is of value to a vendor or if the institution's data is of value to a vendor should weigh heavily in the decision-making process.</t>
  </si>
  <si>
    <t>If a vendor's response is unsatisfactory, engage institutional counsel to appropriately address any ownership concerns.</t>
  </si>
  <si>
    <t>Are these rights retained even through a provider acquisition or bankruptcy event?</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</si>
  <si>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</si>
  <si>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</si>
  <si>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</si>
  <si>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</si>
  <si>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</si>
  <si>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</si>
  <si>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</si>
  <si>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</si>
  <si>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</si>
  <si>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</si>
  <si>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</si>
  <si>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An institution's use case will drive the requirements for backup strategy. Ensure that the institution's use case and risk tolerance can be met by vendor systems.</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</si>
  <si>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</si>
  <si>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</si>
  <si>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</si>
  <si>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The purpose of this question is to define the scope of backup operations and the scope at which a vendor may readily recover when backup restoration is required.</t>
  </si>
  <si>
    <t>Follow-up inquiries for backup content scope will be institution/implementation specific.</t>
  </si>
  <si>
    <t>Are you performing off-site backups? (i.e., digitally moved off site)</t>
  </si>
  <si>
    <t>State any plans to implement off site virtual backups in your environment.</t>
  </si>
  <si>
    <t>Summarize your off site backup strategy.</t>
  </si>
  <si>
    <t>When data is moved digitally (e.g., cloud provider, vendor-owned facility, etc.) offsite, the policies and implemented procedures are important to know. The protections implemented to prevent compromise will be technical in nature and should be well-documented.</t>
  </si>
  <si>
    <t>Follow-up inquiries for offsite, digital backups will be institution/implementation specific.</t>
  </si>
  <si>
    <t>Are physical backups taken off site? (i.e., physically moved off site)</t>
  </si>
  <si>
    <t>State any plans to implement off site physical backups in your environment.</t>
  </si>
  <si>
    <t>Provide the distance (in miles) between the primary and off-site locations</t>
  </si>
  <si>
    <t xml:space="preserve">When data is moved physically (e.g.,HDD, print, etc.) off-site, the policies and implemented procedures are important to know. Unencrypted data taken outside secured areas introduces unnecessary risks. </t>
  </si>
  <si>
    <t>Follow-up inquiries for offsite, physical backups will be institution/implementation specific.</t>
  </si>
  <si>
    <t>Do backups containing the institution's data ever leave the institution's data zone either physically or via network routing?</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</si>
  <si>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</si>
  <si>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</si>
  <si>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</si>
  <si>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</si>
  <si>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</si>
  <si>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</si>
  <si>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</si>
  <si>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</si>
  <si>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Do you have a cryptographic key management process (generation, exchange, storage, safeguards, use, vetting, and replacement) that is documented and currently implemented, for all system components? (e.g., database, system, web, etc.)</t>
  </si>
  <si>
    <t>Summarize your cryptographic key management process.</t>
  </si>
  <si>
    <t>Understanding how key management is handled and the safeguards implemented by the vendor to ensure key confidentiality in all components of a system(s) can provide insight into other complex details of a vendor's infrastructure. Use vendor responses to this question as a way to pivot to other infrastructure specifics, as needed to clarify potential risks.</t>
  </si>
  <si>
    <t>Follow up with the vendor to ensure that all components of the system are considered. This includes system-to-system, system-to-client, applications, system accounts, etc.</t>
  </si>
  <si>
    <t>Do you have a media handling process that is documented and currently implemented that meets established business needs and regulatory requirements, including end-of-life, repurposing and data sanitization procedures?</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</si>
  <si>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</si>
  <si>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</si>
  <si>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</si>
  <si>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</si>
  <si>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Does the process described in DATA-19 adhere to DoD 5220.22-M and/or NIST SP 800-88 standards?</t>
  </si>
  <si>
    <t>State plans to adhere to DoD 5220.22-M and/or NIST SP 800-88 standards.</t>
  </si>
  <si>
    <t xml:space="preserve">Managing media (and the data within) throughout its lifecycle is crucial to the protection of institutional data. The focus of this question is confidentiality, ensuring that media that may store institutional data is protected by well-established policy and procedure. </t>
  </si>
  <si>
    <t>Follow-up inquiries for DoD 5220.22-M and/or SP800-88 standards will be institution specific.</t>
  </si>
  <si>
    <t>Is media used for long-term retention of business data and archival purposes stored in a secure, environmentally protected area?</t>
  </si>
  <si>
    <t>State plans to store long-term media in environmentally protected areas.</t>
  </si>
  <si>
    <t>Provide a general summary of your archival environment.</t>
  </si>
  <si>
    <t>Will you handle data in a FERPA-compliant manner?</t>
  </si>
  <si>
    <t>State plans to handle data in a FERPA-compliant manner.</t>
  </si>
  <si>
    <t>Describe how FERPA compliance is integrated into your process and procedures.</t>
  </si>
  <si>
    <t>Standard documentation, relevant to institution implementations requiring FERPA compliance.</t>
  </si>
  <si>
    <t>Follow-up inquiries for FERPA compliance details will be institution/implementation specific.</t>
  </si>
  <si>
    <t>Does your staff (or third party) have access to institutional data (e.g., financial, PHI or other sensitive information) through any means?</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</si>
  <si>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</si>
  <si>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</si>
  <si>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If institutional data is visible by the vendor's system administrators, follow up with the vendor to understand the scope of visibility, process/procedure that administrators follow, and use cases when administrators are allowed to access (view)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</si>
  <si>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</si>
  <si>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</si>
  <si>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t>
  </si>
  <si>
    <t>Vague responses to this question should be investigated further. Ask for additional documentation and verify that procedure (and possibly training) exists to ensure proper customer data handling activity.</t>
  </si>
  <si>
    <t>Does the hosting provider have a SOC 2 Type 2 report available?</t>
  </si>
  <si>
    <t>Obtain the report if possible and add it to your submission.</t>
  </si>
  <si>
    <t>This question is relative to the response above. Understanding the ownership structure of the facility that will host institutional data is important for setting availability expectations and ensure proper contract terms are in place to protect the institution due to use of third parties. If a vendor uses a third-party vendor to provide data center solutions, having that vendor's SOC 2 Type 2 provides additional insight. The ability to assess these "forth-party" vendors is based on your institution's resources. The vendor is responsible for providing this information; ensure that they handle their vendors properly.</t>
  </si>
  <si>
    <t>Follow-up inquiries for additional vendor's SOC 2 Type 2 reports will be institution/implementation specific.</t>
  </si>
  <si>
    <t>Are you generally able to accommodate storing each institution's data within their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</si>
  <si>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</si>
  <si>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</si>
  <si>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to them. Because vendors may not know where all of their customers reside, it is imperative that vendors are able to accommodate geographic requirements for their customers. Although it is unfair to expect support for all geographic regions in common infrastructure/platform/software-as-a-service, vendors are expected to be absolutely clear about the regions they leverage and/or support.</t>
  </si>
  <si>
    <t>If a vendor is unable to accommodate storing/processing institutional data within specific regions, ask them why they are unable to. Try to determine if it's an infrastructure issue (scalability), a cost-reduction strategy (size/maturity), or some other issue.</t>
  </si>
  <si>
    <t>Are the data centers staffed 24 hours a day, seven days a week (i.e., 24 x 7 x 365)?</t>
  </si>
  <si>
    <t>State any plans to staff data centers 24 x 7 x 365.</t>
  </si>
  <si>
    <t>Describe the on-site staff capabilities.</t>
  </si>
  <si>
    <t xml:space="preserve">Vendors that operate their own datacenter(s) can implement their own monitoring strategy. Use the vendor's response to this questions to verify/validate other responses related to ownership/co-location/physical security. </t>
  </si>
  <si>
    <t>Follow-up inquiries for data center staffing will be institution/implementation specific.</t>
  </si>
  <si>
    <t>Are your servers separated from other companies via a physical barrier, such as a cage or hardened walls?</t>
  </si>
  <si>
    <t>State plans to separate your servers for others via a physical barrier.</t>
  </si>
  <si>
    <t>Describe your physical barrier strategy.</t>
  </si>
  <si>
    <t xml:space="preserve">This question is primarily focused on system integrity. If institutional data is stored in a system that is not physically secured from unauthorized access, the need for compensating controls is often higher. Depending on the use case or vendor infrastructure, this may not be relevant. </t>
  </si>
  <si>
    <t>Follow-up inquiries for system physical security will be institution/implementation specific.</t>
  </si>
  <si>
    <t>Does a physical barrier fully enclose the physical space, preventing unauthorized physical contact with any of your devices?</t>
  </si>
  <si>
    <t>State plans to implement a physical barrier to prevent physical contact with any of your devices.</t>
  </si>
  <si>
    <t>Are your primary and secondary data centers geographically diverse?</t>
  </si>
  <si>
    <t>Describe any plans to implement.</t>
  </si>
  <si>
    <t>State your primary and secondary data center locations. For cloud infrastructures, state the primary and secondary zones.</t>
  </si>
  <si>
    <t>When planning for business continuity and disaster recovery, considering geographic diversity of a vendors operating environment will help analysts better understand risk due to widespread technical issues as well as weather and environmental considerations.</t>
  </si>
  <si>
    <t>Follow-up inquiries for geographic diversity in datacenters will be institution/implementation specific.</t>
  </si>
  <si>
    <t>If outsourced or co-located, is there a contract in place to prevent data from leaving the institution's data zone?</t>
  </si>
  <si>
    <t>Summarize the strategy for removing the institution's data from its data zone.</t>
  </si>
  <si>
    <t>What tier level is your data center (per levels defined by the Uptime Institute)?</t>
  </si>
  <si>
    <t>Review the Uptime Institute's level/tier direction provided on their website if you need addition information.</t>
  </si>
  <si>
    <t>Standard documentation, relevant to institutions requiring a vendor to maintain a specific Uptime Institute Tier Level.</t>
  </si>
  <si>
    <t>Follow-up inquiries for Uptime Institute Tier Level details will be institution/implementation specific.</t>
  </si>
  <si>
    <t>Is the service hosted in a high-availability environment?</t>
  </si>
  <si>
    <t>Describe any plans to implement a high-availability environment for your systems.</t>
  </si>
  <si>
    <t>Provide a summary to support your response selection.</t>
  </si>
  <si>
    <t xml:space="preserve">Is redundant power available for all data centers where institutional data will reside? </t>
  </si>
  <si>
    <t>Describe any plans to implement a redundant power environment for your systems.</t>
  </si>
  <si>
    <t>Provide a detailed description of the implemented strategy. (i.e.,batteries, generator)</t>
  </si>
  <si>
    <t>Are redundant power strategies tested?</t>
  </si>
  <si>
    <t>State plans to implement redundant power testing for your systems.</t>
  </si>
  <si>
    <t>State how often redundant power strategies are tested and the date of the last successful test.</t>
  </si>
  <si>
    <t>Installing (potential) redundant power and regularly testing strategies to ensure they will work when needed are very different. Vague responses to this question should be met with concern and appropriate follow-up, based on your institutions risk tolerance.</t>
  </si>
  <si>
    <t>Follow-up inquiries for redundant power testing details will be institution/implementation specific.</t>
  </si>
  <si>
    <t>Describe or provide a reference to the availability of cooling and fire-suppression systems in all data centers where institution data will reside.</t>
  </si>
  <si>
    <t>Ensure that all parts of DCTR-12 are clearly stated in your response.</t>
  </si>
  <si>
    <t>Installing appropriate environmental controls is crucial to maintaining the integrity of the hosting site. Vague responses to this question should be met with concern and appropriate follow-up, based on your institutions risk tolerance.</t>
  </si>
  <si>
    <t>Follow-up inquiries for cooling and fire suppression systems will be institution/implementation specific.</t>
  </si>
  <si>
    <t>Do you have Internet Service Provider (ISP) redundancy?</t>
  </si>
  <si>
    <t>State the ISP provider(s) in addition to the number of ISPs that provide connectivity.</t>
  </si>
  <si>
    <t xml:space="preserve">State how many Internet Service Providers (ISPs) provide connectivity to each data center where the institution's data will reside. </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</si>
  <si>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</si>
  <si>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</si>
  <si>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</si>
  <si>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Are you requiring multi-factor authentication for administrators of your cloud environment?</t>
  </si>
  <si>
    <t>Describe plans to implement MFA.</t>
  </si>
  <si>
    <t>State which model of MFA you are using.</t>
  </si>
  <si>
    <t>Are you using your cloud providers available hardening tools or pre-hardened images?</t>
  </si>
  <si>
    <t>Describe how you alternately harden your images.</t>
  </si>
  <si>
    <t xml:space="preserve">In the context of the CIA triad, this question is focused on the integrity of a system (or set of systems). </t>
  </si>
  <si>
    <t>Ask the vendor about their system lifecycle practices and security methodology.</t>
  </si>
  <si>
    <t>Does your cloud vendor have access to your encryption keys?</t>
  </si>
  <si>
    <t>Describe your key management practices.</t>
  </si>
  <si>
    <t>Follow-up with the vendor to ensure that all components of the system are considered. This includes system-to-system, system-to-client, applications, system accounts, etc.</t>
  </si>
  <si>
    <t>Describe or provide a reference to your Disaster Recovery Plan (DRP).</t>
  </si>
  <si>
    <t>Provide a valid URL to your current DRP or submit it along with this fully populated HECVAT.</t>
  </si>
  <si>
    <t>Describe any plans to implement a DRP.</t>
  </si>
  <si>
    <t>Please attach or include a link.</t>
  </si>
  <si>
    <t xml:space="preserve">In the context of the CIA triad, this question is focused on availability and is often in need of a follow-up. Understanding the maturing of a vendor's DRP can shed light on many other aspects of a vendor's overall security state. </t>
  </si>
  <si>
    <t>A vendor may have a number of BCP elements defined so the vendor's response may not be binary. Assess the components of the plan and ask about timelines, follow-up commitments, etc. If the vendor does not have a DRP, point them to https://www.sans.org/reading-room/whitepapers/recovery/disaster-recovery-plan-1164</t>
  </si>
  <si>
    <t>Disaster Recovery Plan</t>
  </si>
  <si>
    <t>Is an owner assigned who is responsible for the maintenance and review of the DRP?</t>
  </si>
  <si>
    <t>State plans to assign an owner responsible of the maintenance and review of the DRP.</t>
  </si>
  <si>
    <t>State the responsible owner or position title.</t>
  </si>
  <si>
    <t>Having a DRP and maintaining/updating/testing a DRP are very different. Establishing a responsible party is fundamental to this process, and this question looks to verify that within the vendor.</t>
  </si>
  <si>
    <t>Follow-up inquiries for DRP responsible parties will be institution/implementation specific.</t>
  </si>
  <si>
    <t>Can the institution review your DRP and supporting documentation?</t>
  </si>
  <si>
    <t>Please provide alternatives if possible (NDA, briefing on the DRP, etc.).</t>
  </si>
  <si>
    <t>Provide DRP with your submission of this fully populated HECVAT.</t>
  </si>
  <si>
    <t>General inquiry for documentation. As DRPs may contain some sensitive data, a robust summary is appropriate in lieu of a full DRP.</t>
  </si>
  <si>
    <t>If the vendor states "No," you can ask for a summary, white paper, or blog. If unable to review the full plan, infer what you can from other DRP question responses.</t>
  </si>
  <si>
    <t>Are any disaster recovery locations outside the institution's geographic region?</t>
  </si>
  <si>
    <t>List all locations outside of the United States and provide a brief summary of each.</t>
  </si>
  <si>
    <t>Does your organization have a disaster recovery site or a contracted disaster recovery provider?</t>
  </si>
  <si>
    <t>Describe your recovery plans if your primary location is unavailable.</t>
  </si>
  <si>
    <t>Summarize your disaster recovery strategy including the type of availability your disaster recovery site provides.</t>
  </si>
  <si>
    <t>In the event that a vendor's headquarters (primary location of operation) is no longer usable, a recovery site may be needed to support business operations. Having an established (planned) recovery site show maturity in a vendor's DRP.</t>
  </si>
  <si>
    <t>Follow-up inquiries for disaster recovery site practices will be institution/implementation specific.</t>
  </si>
  <si>
    <t>Does your organization conduct an annual test of relocating to this site for disaster recovery purposes?</t>
  </si>
  <si>
    <t>State plans to implement disaster recovery relocation testing.</t>
  </si>
  <si>
    <t>Summarize your disaster recovery relocation testing strategy.</t>
  </si>
  <si>
    <t>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</si>
  <si>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</si>
  <si>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Is there a defined problem/issue escalation plan in your DRP for impacted clients?</t>
  </si>
  <si>
    <t>Describe your plans to implement a problem/issue escalation plan in your DRP.</t>
  </si>
  <si>
    <t>Summarize your problem/issue escalation plan.</t>
  </si>
  <si>
    <t>Is there a documented communication plan in your DRP for impacted clients?</t>
  </si>
  <si>
    <t>Describe your plans to implement a documented communication plan in your DRP.</t>
  </si>
  <si>
    <t>Summarize your documented communication plan in your DRP.</t>
  </si>
  <si>
    <t>Describe or provide a reference to how your disaster recovery plan is tested. (i.e., scope of DR tests, end-to-end testing, etc.)</t>
  </si>
  <si>
    <t>Ensure that all elements of DRPL-09 are clearly stated in your response.</t>
  </si>
  <si>
    <t xml:space="preserve">Testing a DRP is an important action that improves the efficiency and accuracy of a vendor's recovery plans. Vague responses to this question should be met with concern and appropriate follow-up, based on your institutions risk tolerance. </t>
  </si>
  <si>
    <t>Has the Disaster Recovery Plan been tested in the past year?</t>
  </si>
  <si>
    <t>State the date of your next planned DRP test.</t>
  </si>
  <si>
    <t>Please provide a summary of the results in Additional Information (including actual recovery time).</t>
  </si>
  <si>
    <t>Are all components of the DRP reviewed at least annually and updated as needed to reflect change?</t>
  </si>
  <si>
    <t>State plans to implement annual (at a minimum) testing of your DRP.</t>
  </si>
  <si>
    <t>Summarize your DRP review and update processes and/or procedures.</t>
  </si>
  <si>
    <t>Are you utilizing a stateful packet inspection (SPI) firewall?</t>
  </si>
  <si>
    <t>Describe any plans to implement a SPI firewall.</t>
  </si>
  <si>
    <t>Describe the currently implemented SPI firewall.</t>
  </si>
  <si>
    <t xml:space="preserve">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t>
  </si>
  <si>
    <t>If a vendor states that they outsource their code development and do not run a WAF, there is elevated reason for concern. Verify how code is tested, monitored, and controlled in production environments.</t>
  </si>
  <si>
    <t>Is authority for firewall change approval documented? Please list approver names or titles in Additional Info</t>
  </si>
  <si>
    <t>Describe how firewall changes are approved.</t>
  </si>
  <si>
    <t>List approver names or titles.</t>
  </si>
  <si>
    <t xml:space="preserve">Modifications to firewall rule sets can have significant repercussions. To ensure the integrity of the rule set, this question targets the individual (or responsible party) for changes and the reasoning behind their authority. </t>
  </si>
  <si>
    <t>Ensure that a separation of duties exists in network security configurations. Pay close attention to responsibility overlap in small organizations, where staff often fill multiple roles.</t>
  </si>
  <si>
    <t>Do you have a documented policy for firewall change requests?</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</si>
  <si>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</si>
  <si>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</si>
  <si>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</si>
  <si>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</si>
  <si>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Have you implemented an Intrusion Detection System (network-based)?</t>
  </si>
  <si>
    <t>Describe your plan to implement a Intrusion Detection System in your environment.</t>
  </si>
  <si>
    <t>Describe the currently implemented IDS.</t>
  </si>
  <si>
    <t>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</si>
  <si>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</si>
  <si>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Have you implemented an Intrusion Prevention System (network-based)?</t>
  </si>
  <si>
    <t>Describe your plan to implement a Intrusion Prevention System in your environment.</t>
  </si>
  <si>
    <t>Describe the currently implemented IPS.</t>
  </si>
  <si>
    <t>It is important to have preventive capabilities in an information system to protect institutional data. Because this is somewhat expected in information systems, vendors without IPSs implemented should raise concerns. Compensating controls need future evaluation, if provided by the vendor.</t>
  </si>
  <si>
    <t xml:space="preserve">A security program with limited resources for active prevent is inefficient. Inquiries should include training for staff, reasoning behind not using IPS technologies, and how systems are actively protected and how malicious activity is stopped. </t>
  </si>
  <si>
    <t>Do you employ host-based intrusion detection?</t>
  </si>
  <si>
    <t>Describe your plan to implement host-based Intrusion Detection System capabilities in your environment.</t>
  </si>
  <si>
    <t>Describe the currently implemented host-based IDS solution(s).</t>
  </si>
  <si>
    <t>Ask the vendor to summarize why host-based intrusion detection tools are not implemented in their environment. What compensating controls are in place to detect configuration changes and/or failures of integrity?</t>
  </si>
  <si>
    <t>Do you employ host-based intrusion prevention?</t>
  </si>
  <si>
    <t>Describe your plan to implement host-based Intrusion Prevention System capabilities in your environment.</t>
  </si>
  <si>
    <t>Describe the currently implemented host-based IPS solution(s).</t>
  </si>
  <si>
    <t>Ask the vendor to summarize why host-based intrusion prevention tools are not implemented in their environment. What compensating controls are in place to detect malicious activity and to actively prevent its function.</t>
  </si>
  <si>
    <t>Are you employing any next-generation persistent threat (NGPT) monitoring?</t>
  </si>
  <si>
    <t>Describe your intent to implement NGPT monitoring.</t>
  </si>
  <si>
    <t>Describe your NGPT monitoring strategy.</t>
  </si>
  <si>
    <t>This question is primarily focused on determining the maturity of a vendor's security program and their ability to implement and operate cutting-edge technologies. Investment in advanced technologies may indicate appropriate security program capabilities.</t>
  </si>
  <si>
    <t>Follow-up inquiries for next-generation persistent threat monitoring will be institution/implementation specific.</t>
  </si>
  <si>
    <t>Do you monitor for intrusions on a 24 x 7 x 365 basis?</t>
  </si>
  <si>
    <t>State plans to implement 24 x 7 x 365 intrusion monitoring in your environment(s).</t>
  </si>
  <si>
    <t>Provide a brief summary of this activity.</t>
  </si>
  <si>
    <t xml:space="preserve">This question is primarily focused on system(s) integrity. If institutional data is stored in a system that is not physically secured from unauthorized access, the need for compensating controls is often higher. Depending on the use case or vendor infrastructure, this may not be relevant. </t>
  </si>
  <si>
    <t>Follow-up inquiries for 24 x 7 x 365 monitoring will be institution/implementation specific.</t>
  </si>
  <si>
    <t>Is intrusion monitoring performed internally or by a third-party service?</t>
  </si>
  <si>
    <t>In addition to stating your intrusion monitoring strategy, provide a brief summary of its implementation.</t>
  </si>
  <si>
    <t>This question is primarily focused on the capability of a vendor's security program. Understanding the size and skillsets of a vendor (taken from other responses) is needed to determine the appropriateness of the vendor's response to this question.</t>
  </si>
  <si>
    <t>Follow-up inquiries for intrusion monitoring will be institution/implementation specific.</t>
  </si>
  <si>
    <t>Are audit logs available for all changes to the network, firewall, IDS, and IPS systems?</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</si>
  <si>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</si>
  <si>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</si>
  <si>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</si>
  <si>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If a weak response is given to this answer, it is an indicator that a nontechnical representative populated the document and response scrutiny should be increased. 
If a vendor does not answer appropriately, a follow-up request to have the question fully answered is appropriate.</t>
  </si>
  <si>
    <t>Can you share the organization chart, mission statement, and policies for your information security unit?</t>
  </si>
  <si>
    <t>Provide a brief summary for this response.</t>
  </si>
  <si>
    <t>Provide links to these documents in Additional Information or attach them with your submission.</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</si>
  <si>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</si>
  <si>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Vague responses to this question should be investigated further. Vendors unwilling to share additional supporting documentation decrease the trust established with other responses.</t>
  </si>
  <si>
    <t>Do you have a documented patch management process?</t>
  </si>
  <si>
    <t xml:space="preserve">In the context of the CIA triad, this question is focused on system integrity, ensuring that system changes are only executed according to policy. Additionally, it is expected that devices used to access the vendor's systems are properly managed and secured. </t>
  </si>
  <si>
    <t>Follow up with a robust question set if the vendor cannot clearly state full control of their system patching strategy. Questions about patch testing, testing environments, threat mitigation, incident remediation, etc. are appropriate.</t>
  </si>
  <si>
    <t>Can you accommodate encryption requirements using open standards?</t>
  </si>
  <si>
    <t>Are information security principles designed into the product lifecycle?</t>
  </si>
  <si>
    <t>State why security principles are not designed into the product lifecycle.</t>
  </si>
  <si>
    <t>Summarize the information security principles designed into the product lifecycle.</t>
  </si>
  <si>
    <t>Do you have a documented systems development life cycle (SDLC)?</t>
  </si>
  <si>
    <t>State any plans to implement an SDLC.</t>
  </si>
  <si>
    <t>Briefly summarize your SDLC or provide a link or attachment.</t>
  </si>
  <si>
    <t xml:space="preserve">Mature product/software/service lifecycle management can position a vendor to sufficiently plan, implement, and manage systems that better protect institutional data. </t>
  </si>
  <si>
    <t>Although withdrawn by NIST, the Security Considerations in the Systems Development Life Cycle (SP 800-64r2) document is an excellent resource to provide guidance to vendors (i.e., set expectations). Follow-up questions to SDLC use will be institution/implementation specific.</t>
  </si>
  <si>
    <t>Will you comply with applicable breach notification laws?</t>
  </si>
  <si>
    <t>Summarize why you will not comple with applicable breach notification laws.</t>
  </si>
  <si>
    <t>State how quickly the institution will be notified of a data breach or security incident.</t>
  </si>
  <si>
    <t>This is a general inquiry to determine if the vendor is well-versed in applicable laws and regulations that apply in the institution's region of business operation.</t>
  </si>
  <si>
    <t>If a vendor is vague in their response, follow up with direct questions about doing business in your state/region/country and any laws that are pertinent to the institution.</t>
  </si>
  <si>
    <t>Will you comply with the institution's IT policies with regards to user privacy and data protection?</t>
  </si>
  <si>
    <t>Summarize why you will not comply with the institution's IT policy with regards to user privacy and data protection.</t>
  </si>
  <si>
    <t>State that you have reviewed the institution's IT policies with regards to user privacy and data protection.</t>
  </si>
  <si>
    <t>This is a general inquiry to determine if the vendor has reviewed the institution's policies and is committed to complying with them.</t>
  </si>
  <si>
    <t>If a vendor is vague in their response, follow up with direct questions about the institution's policies and ensure the expectation of compliance is clear with the vendor.</t>
  </si>
  <si>
    <t>Is your company subject to institution's geographic region's laws and regulations?</t>
  </si>
  <si>
    <t>State the country that governs and regulates your company.</t>
  </si>
  <si>
    <t>Do you perform background screenings or multi-state background checks on all employees prior to their first day of work?</t>
  </si>
  <si>
    <t>State plans to implement background check elements into your hiring process.</t>
  </si>
  <si>
    <t>Summarize your background check practices.</t>
  </si>
  <si>
    <t>The use of detective and preventive controls in the hiring process served a valuable role in protecting institutional data. As these are often HR documented policies, a vendor should have their practices well-documented and ready for review, upon request.</t>
  </si>
  <si>
    <t>Ask the vendor if background checks and/or screening are conducted in any capacity, at any time during the employment period. Ask about the precautions they take to ensure the intellectual property is secured and inquire if user data is treated in an appropriate manner.</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</si>
  <si>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</si>
  <si>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</si>
  <si>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</si>
  <si>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</si>
  <si>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If a vendor's practices are not clear, inquire about training requirements for employees, especially the frequency and scope of content.</t>
  </si>
  <si>
    <t>Do you have a documented information security policy?</t>
  </si>
  <si>
    <t>State plans to implement information security policy at your company.</t>
  </si>
  <si>
    <t>Provide a reference to your information security policy or submit documentation with this fully populated HECVAT.</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</si>
  <si>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</si>
  <si>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</si>
  <si>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Do you have an information security awareness program?</t>
  </si>
  <si>
    <t>State plans to implement an information security awareness program.</t>
  </si>
  <si>
    <t>Summarize your information security awareness program.</t>
  </si>
  <si>
    <t>Setting the expectation of  security-related responsibilities throughout an organzation is favored in an information security awareness program. Vendors without an information security awareness campaign should be met with scrutiny on how security policies and procedures are implemented in their environment.</t>
  </si>
  <si>
    <t>Follow-up inquiries for information security awareness programs will be institution/implementation specific.</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</si>
  <si>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</si>
  <si>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</si>
  <si>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</si>
  <si>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</si>
  <si>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</si>
  <si>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</si>
  <si>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Protecting privileged accounts is crucial to maintaining system integrity in any environment. This question is targeting privilege creep and unmanaged privileged acccounts to determine if the vendor properly manages access control in their application/system environments.</t>
  </si>
  <si>
    <t>Ask the vendor to summarize their implemented policies and/or procedures.</t>
  </si>
  <si>
    <t>Do you have documented, and currently implemented, internal audit processes and procedures?</t>
  </si>
  <si>
    <t>State plans to document and implement internal audit process and procedure in your environment.</t>
  </si>
  <si>
    <t>Summarize your internal audit processes and procedures.</t>
  </si>
  <si>
    <t>The role of an internal auditor is to verify implemented controls and highlight areas in need of improvement. Vendors without internal audit processes and procedures should be met with scrutiny on how security policies and procedures are monitored and verified in their environment.</t>
  </si>
  <si>
    <t xml:space="preserve">Follow-up inquiries for internal audit processes and procedures will be institution/implementation specific. </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</si>
  <si>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</si>
  <si>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</si>
  <si>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</si>
  <si>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This question aims to understand the physical security state of the vendor's operating environment and whether or not physical assets are appropriately protected.</t>
  </si>
  <si>
    <t xml:space="preserve">Follow-up inquiries for physical security controls and policies will be institution/implementation specific. </t>
  </si>
  <si>
    <t>Do you have a formal incident response plan?</t>
  </si>
  <si>
    <t>State plans to formalize an incident response plan.</t>
  </si>
  <si>
    <t>Summarize or provide a link to your formal incident response plan.</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</si>
  <si>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</si>
  <si>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direct them to the NIST Computer Security Incident Handling Guide at https://csrc.nist.gov/publications/detail/sp/800-61/rev-2/final</t>
  </si>
  <si>
    <t>Do you either have an internal incident response team or retain an external team?</t>
  </si>
  <si>
    <t>Describe your timeline for implementing such a process for response and reporting.</t>
  </si>
  <si>
    <t>Summarize your incident response and reporting processes.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</si>
  <si>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</si>
  <si>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Do you have the capability to respond to incidents on a 24 x 7 x 365 basis?</t>
  </si>
  <si>
    <t>State plans for acquiring internal resources or an external team.</t>
  </si>
  <si>
    <t>Summarize your internal approach or reference your third-party contractor.</t>
  </si>
  <si>
    <t>The incident team structure (internal vs. external), size, and capabilities of a vendor have a significant impact on their ability to respond to and protect an institution's data. Use the knowledge of this response when evaluating other vendor statements.</t>
  </si>
  <si>
    <t>If the vendor does not have an incident response team, direct them to the NIST Computer Security Incident Handling Guide at https://csrc.nist.gov/publications/detail/sp/800-61/rev-2/final</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</si>
  <si>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</si>
  <si>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</si>
  <si>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Describe the coverage in place for this product.</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</si>
  <si>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</si>
  <si>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Do you have a documented and currently implemented Quality Assurance program?</t>
  </si>
  <si>
    <t>Provide a valid URL to your Quality Assurance program or submit it along with this fully populated HECVAT.</t>
  </si>
  <si>
    <t xml:space="preserve">Integrity and availability are the focus of this question. The existence of a well-documented quality assurance program, with demonstrated and published metrics, may provide insight into the inner workings (mindset) of a vendor. </t>
  </si>
  <si>
    <t>Institutions vary broadly on how QA is handled, so any follow-up questions will be contract/institution/implementation specific.</t>
  </si>
  <si>
    <t>Do you comply with ISO 9001?</t>
  </si>
  <si>
    <t>Describe plans and/or efforts towards certification.</t>
  </si>
  <si>
    <t>If certified, provide supporting documentation.</t>
  </si>
  <si>
    <t>Standard documentation, relevant to institutions requiring a vendor to comply with ISO 9001.</t>
  </si>
  <si>
    <t xml:space="preserve">Follow-up inquiries for ISO 9001 content will be institution/implementation specific. </t>
  </si>
  <si>
    <t>Will your company provide quality and performance metrics in relation to the scope of services and performance expectations for the services you are offering?</t>
  </si>
  <si>
    <t>State plans to provide quality and performance metrics for this service.</t>
  </si>
  <si>
    <t>Provide references to quality and performance metrics documentation.</t>
  </si>
  <si>
    <t>This question is for institutions that tie metrics and service level agreements (SLAs) or expectations (SLEs) to security reviews. The implementation strategy and use case will indicate the relevance of this question for security/risk assessment.</t>
  </si>
  <si>
    <t xml:space="preserve">Follow-up inquiries for quality and performance metrics will be contract/institution/implementation specific. </t>
  </si>
  <si>
    <t>Do you incorporate customer feedback into security feature requests?</t>
  </si>
  <si>
    <t>Provide a list of higher education references or a route for campuses to request references</t>
  </si>
  <si>
    <t>This is a general inquiry to determine if the vendor being assessed has done or is doing business with the institution at the time of assessment. Existing relationships, if present, can be reviewed for insights into a vendor and/or to verify other responses.</t>
  </si>
  <si>
    <t>Many higher education institutions are large enough that existing/former contracts exist with one entity of the college/university (e.g., school of X) but are unknown to another. Question the vendor in-depth if you get a vague response to this question; combining licenses/purchases increases buying power.</t>
  </si>
  <si>
    <t>Can you provide an evaluation site to the institution for testing?</t>
  </si>
  <si>
    <t>State plans to provide an evaluation site in the future.</t>
  </si>
  <si>
    <t>Summarize your evaluation site or provide a link.</t>
  </si>
  <si>
    <t xml:space="preserve">This question is used to gauge the importance of our industry (higher education) to the vendor. </t>
  </si>
  <si>
    <t>This is a general information question. Any follow-up will be institution/implementation specific.</t>
  </si>
  <si>
    <r>
      <t xml:space="preserve">Are your systems and </t>
    </r>
    <r>
      <rPr>
        <i/>
        <sz val="11"/>
        <color rgb="FF000000"/>
        <rFont val="Verdana"/>
        <family val="2"/>
      </rPr>
      <t>applications regularly</t>
    </r>
    <r>
      <rPr>
        <sz val="11"/>
        <color rgb="FF000000"/>
        <rFont val="Verdana"/>
        <family val="2"/>
      </rPr>
      <t xml:space="preserve"> scanned externally for vulnerabilities?</t>
    </r>
  </si>
  <si>
    <t>Describe any plans to implement external vulnerability scanning for your applications.</t>
  </si>
  <si>
    <t>Decribe your external application vulnerability scanning strategy.</t>
  </si>
  <si>
    <t>External verification of application security controls is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t>
  </si>
  <si>
    <t xml:space="preserve">If "No," inquire if there has ever been a vulnerability scan. A short lapse in external assessment validity can be understood (if there is a planned assessment), but a significant time lapse or none whatsoever is cause for elevated levels of concern. </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</si>
  <si>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</si>
  <si>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</si>
  <si>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</si>
  <si>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</si>
  <si>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</si>
  <si>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Are your systems and applications scanned with an authenticated user account for vulnerabilities (that are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</si>
  <si>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</si>
  <si>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</si>
  <si>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</si>
  <si>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Ask if there are plans to implement these processes. Ask the vendor to summarize their decision behind not scanning their applications for vulnerabilities prior to release.</t>
  </si>
  <si>
    <t>Will you provide results of application and system vulnerability scans to the institution?</t>
  </si>
  <si>
    <t>Describe why security scan results will not be provided to the institution.</t>
  </si>
  <si>
    <t>Provide a reference to security scan documentation.</t>
  </si>
  <si>
    <t>If a vendor is scanning their applications and/or systems, oftentimes an institution will want to review the report, if possible. Preferably, any finding on the reports will have a matching mitigation action.</t>
  </si>
  <si>
    <t>If a vendor is hesitant to share the report, ask for a summarized version; some insight is better than none.</t>
  </si>
  <si>
    <t>Describe or provide a reference to how you monitor for and protect against common web application security vulnerabilities (e.g., SQL injection, XSS, XSRF, etc.).</t>
  </si>
  <si>
    <t>Ensure that all elements of VULN-05 are clearly stated in your response.</t>
  </si>
  <si>
    <t>The adherence to secure coding best practices better positions a vendor to maintain the CIA triad. Use the knowledge of this response when evaluating other vendor statements, particularly those focused on development and the protection of communications. Vendors should be monitoring for and addressing these issues in their products.</t>
  </si>
  <si>
    <t>If information security principles are not designed into the product lifecycle, point the vendor to OWASP's Secure Coding Practices - Quick Reference Guide at https://www.owasp.org/index.php/OWASP_Secure_Coding_Practices_-_Quick_Reference_Guide
Inquire about the tools a vendor uses, the interval at which systems are monitored/mitigated, and who is responsible for the process/procedure in place for this monitoring.</t>
  </si>
  <si>
    <t>Will you allow the institution to perform its own vulnerability testing and/or scanning of your systems and/or application, provided that testing is performed at a mutually agreed upon time and date?</t>
  </si>
  <si>
    <t>Provide a brief summary for your response.</t>
  </si>
  <si>
    <t>Provide reference to the process or procedure to setup security testing times and scopes.</t>
  </si>
  <si>
    <t>Many higher education institutions are capable of performing vulnerability assessments and/or penetration testing on their vendors' infrastructures. This question confirms the possibility of conducting these actions against the vendor's infrastructure.</t>
  </si>
  <si>
    <t>Follow-up inquiries for vulnerability scanning and penetration testing will be institution/implementation specific.</t>
  </si>
  <si>
    <t>Do your workforce members receive regular training related to the HIPAA Privacy and Security Rules and the HITECH Act?</t>
  </si>
  <si>
    <t>Refer to HIPAA documentation or your institution's Chief HIPAA Security Officer.</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</si>
  <si>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</si>
  <si>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</si>
  <si>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</si>
  <si>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Have you conducted a risk analysis as required under the Security Rule?</t>
  </si>
  <si>
    <t>Have you identified areas of risks?</t>
  </si>
  <si>
    <t>Have you taken actions to mitigate the identified risks?</t>
  </si>
  <si>
    <t>Does your application require user and system administrator password changes at a frequency no greater than 90 days?</t>
  </si>
  <si>
    <t>Does your application require users to set their own password after an administrator reset or on first use of the account?</t>
  </si>
  <si>
    <t xml:space="preserve">Does your application lock out an account after a number of failed login attempts? </t>
  </si>
  <si>
    <t>Does your application automatically lock or log-out an account after a period of inactivity?</t>
  </si>
  <si>
    <t>Are passwords visible in plain text, whether when stored or entered, including service level accounts (i.e., database accounts, etc.)?</t>
  </si>
  <si>
    <t>If the application is institution-hosted, can all service level and administrative account passwords be changed by the institution?</t>
  </si>
  <si>
    <t>Does your application provide the ability to define user access levels?</t>
  </si>
  <si>
    <t>Does your application support varying levels of access to administrative tasks defined individually per user?</t>
  </si>
  <si>
    <t>Does your application support varying levels of access to records based on user ID?</t>
  </si>
  <si>
    <t>Is there a limit to the number of groups to which a user can be assigned?</t>
  </si>
  <si>
    <t>Do accounts used for vendor-supplied remote support abide by the same authentication policies and access logging as the rest of the system?</t>
  </si>
  <si>
    <t xml:space="preserve">Does the application log record access including specific user, date/time of access, and originating IP or device? </t>
  </si>
  <si>
    <t>Does the application log administrative activity, such user account access changes and password changes, including specific user, date/time of changes, and originating IP or device?</t>
  </si>
  <si>
    <t>How long does the application keep access/change logs?</t>
  </si>
  <si>
    <t xml:space="preserve">Can the application logs be archived? </t>
  </si>
  <si>
    <t xml:space="preserve">Can the application logs be saved externally? </t>
  </si>
  <si>
    <t>Do your data backup and retention policies and practices meet HIPAA requirements?</t>
  </si>
  <si>
    <t>Do you have a disaster recovery plan and emergency mode operation plan?</t>
  </si>
  <si>
    <t>Have the policies/plans mentioned above been tested?</t>
  </si>
  <si>
    <t>Can you provide a HIPAA compliance attestation document?</t>
  </si>
  <si>
    <t>Are you willing to enter into a Business Associate Agreement (BAA)?</t>
  </si>
  <si>
    <t>Have you entered into a BAA with all subcontractors who may have access to protected health information (PHI)?</t>
  </si>
  <si>
    <t>Do your systems or products store, process, or transmit cardholder (payment/credit/debt card) data?</t>
  </si>
  <si>
    <t>Refer to PCI DSS Security Standards for supplemental guidance in this section</t>
  </si>
  <si>
    <t>Refer to PCI DSS documentation or your institution's treasurer's office.</t>
  </si>
  <si>
    <t>Are you compliant with the Payment Card Industry Data Security Standard (PCI DSS)?</t>
  </si>
  <si>
    <t>Do you have a current, executed within the past year, Attestation of Compliance (AoC) or Report on Compliance (RoC)?</t>
  </si>
  <si>
    <t>Are you classified as a service provider?</t>
  </si>
  <si>
    <t xml:space="preserve">Are you on the list of VISA approved service providers? </t>
  </si>
  <si>
    <t>Are you classified as a merchant? If so, what level (1, 2, 3, 4)?</t>
  </si>
  <si>
    <t>Describe the architecture employed by the system to verify and authorize credit card transactions.</t>
  </si>
  <si>
    <t xml:space="preserve">What payment processors/gateways does the system support? </t>
  </si>
  <si>
    <t>Can the application be installed in a PCI DSS–compliant manner ?</t>
  </si>
  <si>
    <t xml:space="preserve">Is the application listed as an approved Payment Application Data Security Standard (PA-DSS) application? </t>
  </si>
  <si>
    <t>Does the system or products use a third party to collect, store, process, or transmit cardholder (payment/credit/debt card) data?</t>
  </si>
  <si>
    <t xml:space="preserve">Include documentation describing the systems' abilities to comply with the PCI DSS and any features or capabilities of the system that must be added or changed in order to operate in compliance with the standards. </t>
  </si>
  <si>
    <t xml:space="preserve">End of table data. </t>
  </si>
  <si>
    <t>Campus</t>
  </si>
  <si>
    <t>Category_Total</t>
  </si>
  <si>
    <t>Category_divisor</t>
  </si>
  <si>
    <t>COMP*</t>
  </si>
  <si>
    <t>Answers</t>
  </si>
  <si>
    <t>DOCU*</t>
  </si>
  <si>
    <t>Accessibility</t>
  </si>
  <si>
    <t>ITAC*</t>
  </si>
  <si>
    <t>Third Parties</t>
  </si>
  <si>
    <t>THRD*</t>
  </si>
  <si>
    <t>CONS*</t>
  </si>
  <si>
    <t>Application Security</t>
  </si>
  <si>
    <t>APPL*</t>
  </si>
  <si>
    <t>DRPTestingSchedule</t>
  </si>
  <si>
    <t>AAAI*</t>
  </si>
  <si>
    <t>Quarterly</t>
  </si>
  <si>
    <t>BCPL*</t>
  </si>
  <si>
    <t>Semi-annually</t>
  </si>
  <si>
    <t>CHNG*</t>
  </si>
  <si>
    <t>Annually</t>
  </si>
  <si>
    <t>DATA*</t>
  </si>
  <si>
    <t>Other</t>
  </si>
  <si>
    <t>DCTR*</t>
  </si>
  <si>
    <t>DRPL*</t>
  </si>
  <si>
    <t>NetworkTypes</t>
  </si>
  <si>
    <t>FIDP*</t>
  </si>
  <si>
    <t>Exclusive VLAN</t>
  </si>
  <si>
    <t>PPPR*</t>
  </si>
  <si>
    <t>Shared VLAN</t>
  </si>
  <si>
    <t>HFIH*</t>
  </si>
  <si>
    <t>Physically Separate</t>
  </si>
  <si>
    <t>QLAS*</t>
  </si>
  <si>
    <t>Flat Shared Network</t>
  </si>
  <si>
    <t>VULN*</t>
  </si>
  <si>
    <t>HIPA*</t>
  </si>
  <si>
    <t>PCI-DSS</t>
  </si>
  <si>
    <t>PCID*</t>
  </si>
  <si>
    <t>DR Types</t>
  </si>
  <si>
    <t>Cold</t>
  </si>
  <si>
    <t>Hot</t>
  </si>
  <si>
    <t>SharedAssessmentsConfirmation</t>
  </si>
  <si>
    <t>AAI Answers</t>
  </si>
  <si>
    <t>Yes; OK to Share</t>
  </si>
  <si>
    <t>No; Sharing Disallowed</t>
  </si>
  <si>
    <t>2) No</t>
  </si>
  <si>
    <t>SharedAssessmentListingConfirmation</t>
  </si>
  <si>
    <t>4) N/A</t>
  </si>
  <si>
    <t>Yes; OK to List</t>
  </si>
  <si>
    <t>No; Listing Disallowed</t>
  </si>
  <si>
    <t>UptimeTiers</t>
  </si>
  <si>
    <t>Tier I</t>
  </si>
  <si>
    <t>Tier II</t>
  </si>
  <si>
    <t>Tier III</t>
  </si>
  <si>
    <t>Tier IV</t>
  </si>
  <si>
    <t>Weights</t>
  </si>
  <si>
    <t>Hosting</t>
  </si>
  <si>
    <t>1) Self owned and managed</t>
  </si>
  <si>
    <t>2) Physical Co-location</t>
  </si>
  <si>
    <t>3) Virtual Co-location</t>
  </si>
  <si>
    <t>5) Azure</t>
  </si>
  <si>
    <t>6) GCP</t>
  </si>
  <si>
    <t>7) Other</t>
  </si>
  <si>
    <t>ISO 27002:2013</t>
  </si>
  <si>
    <t>TRUE</t>
  </si>
  <si>
    <t>Row Labels</t>
  </si>
  <si>
    <t>RA-2</t>
  </si>
  <si>
    <t>(blank)</t>
  </si>
  <si>
    <t>Will institution data be shared with or hosted by any third parties? (e.g. any entity not wholly-owned by your company is considered a third-party)</t>
  </si>
  <si>
    <t>ID.AM-6, PR.AT-3</t>
  </si>
  <si>
    <t>Do you have a well documented Business Continuity Plan (BCP) that is tested annually?</t>
  </si>
  <si>
    <t>AU-7, AU-9, IR-4</t>
  </si>
  <si>
    <t>Do you have a well documented Disaster Recovery Plan (DRP) that is tested annually?</t>
  </si>
  <si>
    <t>Is the vended product designed to process or store Credit Card information?</t>
  </si>
  <si>
    <t>CA-5, PL-2</t>
  </si>
  <si>
    <t xml:space="preserve">The cells within this worksheet are autopopulated with the data provided in previous worksheets. </t>
  </si>
  <si>
    <t>HECVAT - Full | Standards Crosswalk (to be updated in a future release)</t>
  </si>
  <si>
    <t>Standards Crosswalk</t>
  </si>
  <si>
    <t>NIST SP 800-171r2</t>
  </si>
  <si>
    <t xml:space="preserve">End Table Data </t>
  </si>
  <si>
    <t>IH-01</t>
  </si>
  <si>
    <t>IH-02</t>
  </si>
  <si>
    <t>IH-03</t>
  </si>
  <si>
    <t>IH-04</t>
  </si>
  <si>
    <t xml:space="preserve">Contained within this worksheet are lists of those being acknowledged for their contributions. </t>
  </si>
  <si>
    <t>Acknowledgments</t>
  </si>
  <si>
    <t xml:space="preserve">The Higher Education Information Security Council Shared Assessments Working Group contributed their vision and significant talents to the conception, creation, and completion of this resource. </t>
  </si>
  <si>
    <t>Members who contributed in 2020, 2021, and 2022:</t>
  </si>
  <si>
    <r>
      <t>•</t>
    </r>
    <r>
      <rPr>
        <sz val="7"/>
        <color indexed="8"/>
        <rFont val="Verdana"/>
        <family val="2"/>
      </rPr>
      <t xml:space="preserve">       </t>
    </r>
    <r>
      <rPr>
        <sz val="11"/>
        <color indexed="8"/>
        <rFont val="Verdana"/>
        <family val="2"/>
      </rPr>
      <t>Mary Albert, Princeton University</t>
    </r>
  </si>
  <si>
    <r>
      <t>•</t>
    </r>
    <r>
      <rPr>
        <sz val="7"/>
        <color indexed="8"/>
        <rFont val="Verdana"/>
        <family val="2"/>
      </rPr>
      <t xml:space="preserve">       </t>
    </r>
    <r>
      <rPr>
        <sz val="11"/>
        <color indexed="8"/>
        <rFont val="Verdana"/>
        <family val="2"/>
      </rPr>
      <t>Jon Allen, Baylor University (HECVAT Users CG chair)</t>
    </r>
  </si>
  <si>
    <r>
      <t>•</t>
    </r>
    <r>
      <rPr>
        <sz val="7"/>
        <color indexed="8"/>
        <rFont val="Verdana"/>
        <family val="2"/>
      </rPr>
      <t xml:space="preserve">       </t>
    </r>
    <r>
      <rPr>
        <sz val="11"/>
        <color indexed="8"/>
        <rFont val="Verdana"/>
        <family val="2"/>
      </rPr>
      <t>Jill Bateman, Ohio University</t>
    </r>
  </si>
  <si>
    <r>
      <t>•</t>
    </r>
    <r>
      <rPr>
        <sz val="7"/>
        <color indexed="8"/>
        <rFont val="Verdana"/>
        <family val="2"/>
      </rPr>
      <t xml:space="preserve">       </t>
    </r>
    <r>
      <rPr>
        <sz val="11"/>
        <color indexed="8"/>
        <rFont val="Verdana"/>
        <family val="2"/>
      </rPr>
      <t>Vince Bonura, Fordham University</t>
    </r>
  </si>
  <si>
    <r>
      <t>•</t>
    </r>
    <r>
      <rPr>
        <sz val="7"/>
        <color indexed="8"/>
        <rFont val="Verdana"/>
        <family val="2"/>
      </rPr>
      <t xml:space="preserve">       </t>
    </r>
    <r>
      <rPr>
        <sz val="11"/>
        <color indexed="8"/>
        <rFont val="Verdana"/>
        <family val="2"/>
      </rPr>
      <t>Gwen A. Bostic, Western Michigan University</t>
    </r>
  </si>
  <si>
    <r>
      <t>•</t>
    </r>
    <r>
      <rPr>
        <sz val="7"/>
        <color indexed="8"/>
        <rFont val="Verdana"/>
        <family val="2"/>
      </rPr>
      <t xml:space="preserve">       </t>
    </r>
    <r>
      <rPr>
        <sz val="11"/>
        <color indexed="8"/>
        <rFont val="Verdana"/>
        <family val="2"/>
      </rPr>
      <t>Josh Callahan, Cal Poly Humboldt</t>
    </r>
  </si>
  <si>
    <r>
      <t>•</t>
    </r>
    <r>
      <rPr>
        <sz val="7"/>
        <color indexed="8"/>
        <rFont val="Verdana"/>
        <family val="2"/>
      </rPr>
      <t xml:space="preserve">       </t>
    </r>
    <r>
      <rPr>
        <sz val="11"/>
        <color indexed="8"/>
        <rFont val="Verdana"/>
        <family val="2"/>
      </rPr>
      <t>Meryl Bursic, Cornell University</t>
    </r>
  </si>
  <si>
    <r>
      <t>•</t>
    </r>
    <r>
      <rPr>
        <sz val="7"/>
        <color indexed="8"/>
        <rFont val="Verdana"/>
        <family val="2"/>
      </rPr>
      <t xml:space="preserve">       </t>
    </r>
    <r>
      <rPr>
        <sz val="11"/>
        <color indexed="8"/>
        <rFont val="Verdana"/>
        <family val="2"/>
      </rPr>
      <t>Christopher Cashmere, University of Nebraska</t>
    </r>
  </si>
  <si>
    <r>
      <t>•</t>
    </r>
    <r>
      <rPr>
        <sz val="7"/>
        <color indexed="8"/>
        <rFont val="Verdana"/>
        <family val="2"/>
      </rPr>
      <t xml:space="preserve">       </t>
    </r>
    <r>
      <rPr>
        <sz val="11"/>
        <color indexed="8"/>
        <rFont val="Verdana"/>
        <family val="2"/>
      </rPr>
      <t>Jiatyan Chen, Stanford University</t>
    </r>
  </si>
  <si>
    <r>
      <t>•</t>
    </r>
    <r>
      <rPr>
        <sz val="7"/>
        <color indexed="8"/>
        <rFont val="Verdana"/>
        <family val="2"/>
      </rPr>
      <t xml:space="preserve">       </t>
    </r>
    <r>
      <rPr>
        <sz val="11"/>
        <color indexed="8"/>
        <rFont val="Verdana"/>
        <family val="2"/>
      </rPr>
      <t>Tom Coffy, University of Tennessee, Knoxville</t>
    </r>
  </si>
  <si>
    <r>
      <t>•</t>
    </r>
    <r>
      <rPr>
        <sz val="7"/>
        <color indexed="8"/>
        <rFont val="Verdana"/>
        <family val="2"/>
      </rPr>
      <t xml:space="preserve">       </t>
    </r>
    <r>
      <rPr>
        <sz val="11"/>
        <color indexed="8"/>
        <rFont val="Verdana"/>
        <family val="2"/>
      </rPr>
      <t>Doug Cox, University of Michigan</t>
    </r>
  </si>
  <si>
    <r>
      <t>•</t>
    </r>
    <r>
      <rPr>
        <sz val="7"/>
        <color indexed="8"/>
        <rFont val="Verdana"/>
        <family val="2"/>
      </rPr>
      <t xml:space="preserve">       </t>
    </r>
    <r>
      <rPr>
        <sz val="11"/>
        <color indexed="8"/>
        <rFont val="Verdana"/>
        <family val="2"/>
      </rPr>
      <t>Michael Cyr, University of Maine System, IT Accessibility CG Co-Chair</t>
    </r>
  </si>
  <si>
    <r>
      <t>•</t>
    </r>
    <r>
      <rPr>
        <sz val="7"/>
        <color indexed="8"/>
        <rFont val="Verdana"/>
        <family val="2"/>
      </rPr>
      <t xml:space="preserve">       </t>
    </r>
    <r>
      <rPr>
        <sz val="11"/>
        <color indexed="8"/>
        <rFont val="Verdana"/>
        <family val="2"/>
      </rPr>
      <t>Glenn Dausch, Stony Brook University</t>
    </r>
  </si>
  <si>
    <r>
      <t>•</t>
    </r>
    <r>
      <rPr>
        <sz val="7"/>
        <color indexed="8"/>
        <rFont val="Verdana"/>
        <family val="2"/>
      </rPr>
      <t xml:space="preserve">       </t>
    </r>
    <r>
      <rPr>
        <sz val="11"/>
        <color indexed="8"/>
        <rFont val="Verdana"/>
        <family val="2"/>
      </rPr>
      <t>Suzanne Elhorr, American University of Beirut</t>
    </r>
  </si>
  <si>
    <r>
      <t>•</t>
    </r>
    <r>
      <rPr>
        <sz val="7"/>
        <color indexed="8"/>
        <rFont val="Verdana"/>
        <family val="2"/>
      </rPr>
      <t xml:space="preserve">       </t>
    </r>
    <r>
      <rPr>
        <sz val="11"/>
        <color indexed="8"/>
        <rFont val="Verdana"/>
        <family val="2"/>
      </rPr>
      <t>Charles Escue, Indiana University (HECVAT Users CG co-chair)</t>
    </r>
  </si>
  <si>
    <r>
      <t>•</t>
    </r>
    <r>
      <rPr>
        <sz val="7"/>
        <color indexed="8"/>
        <rFont val="Verdana"/>
        <family val="2"/>
      </rPr>
      <t xml:space="preserve">       </t>
    </r>
    <r>
      <rPr>
        <sz val="11"/>
        <color indexed="8"/>
        <rFont val="Verdana"/>
        <family val="2"/>
      </rPr>
      <t>Laura Fathauer, Miami University [OH]</t>
    </r>
  </si>
  <si>
    <r>
      <t>•</t>
    </r>
    <r>
      <rPr>
        <sz val="7"/>
        <color indexed="8"/>
        <rFont val="Verdana"/>
        <family val="2"/>
      </rPr>
      <t xml:space="preserve">       </t>
    </r>
    <r>
      <rPr>
        <sz val="11"/>
        <color indexed="8"/>
        <rFont val="Verdana"/>
        <family val="2"/>
      </rPr>
      <t>Sean Hagan, University of Alaska</t>
    </r>
  </si>
  <si>
    <r>
      <t>•</t>
    </r>
    <r>
      <rPr>
        <sz val="7"/>
        <color indexed="8"/>
        <rFont val="Verdana"/>
        <family val="2"/>
      </rPr>
      <t xml:space="preserve">       </t>
    </r>
    <r>
      <rPr>
        <sz val="11"/>
        <color indexed="8"/>
        <rFont val="Verdana"/>
        <family val="2"/>
      </rPr>
      <t>Greg Hanek, Indiana University</t>
    </r>
  </si>
  <si>
    <r>
      <t>•</t>
    </r>
    <r>
      <rPr>
        <sz val="7"/>
        <color indexed="8"/>
        <rFont val="Verdana"/>
        <family val="2"/>
      </rPr>
      <t xml:space="preserve">       </t>
    </r>
    <r>
      <rPr>
        <sz val="11"/>
        <color indexed="8"/>
        <rFont val="Verdana"/>
        <family val="2"/>
      </rPr>
      <t>Tania Heap, University of North Texas</t>
    </r>
  </si>
  <si>
    <r>
      <t>•</t>
    </r>
    <r>
      <rPr>
        <sz val="7"/>
        <color indexed="8"/>
        <rFont val="Verdana"/>
        <family val="2"/>
      </rPr>
      <t xml:space="preserve">       </t>
    </r>
    <r>
      <rPr>
        <sz val="11"/>
        <color indexed="8"/>
        <rFont val="Verdana"/>
        <family val="2"/>
      </rPr>
      <t>Lori Kressin, University of Virginia</t>
    </r>
  </si>
  <si>
    <r>
      <t>•</t>
    </r>
    <r>
      <rPr>
        <sz val="7"/>
        <color indexed="8"/>
        <rFont val="Verdana"/>
        <family val="2"/>
      </rPr>
      <t xml:space="preserve">       </t>
    </r>
    <r>
      <rPr>
        <sz val="11"/>
        <color indexed="8"/>
        <rFont val="Verdana"/>
        <family val="2"/>
      </rPr>
      <t xml:space="preserve">Avinash Kundu, EAB Global, Inc. </t>
    </r>
  </si>
  <si>
    <r>
      <t>•</t>
    </r>
    <r>
      <rPr>
        <sz val="7"/>
        <color indexed="8"/>
        <rFont val="Verdana"/>
        <family val="2"/>
      </rPr>
      <t xml:space="preserve">       </t>
    </r>
    <r>
      <rPr>
        <sz val="11"/>
        <color indexed="8"/>
        <rFont val="Verdana"/>
        <family val="2"/>
      </rPr>
      <t>Dennis Leber, UTHSC</t>
    </r>
  </si>
  <si>
    <r>
      <t>•</t>
    </r>
    <r>
      <rPr>
        <sz val="7"/>
        <color indexed="8"/>
        <rFont val="Verdana"/>
        <family val="2"/>
      </rPr>
      <t xml:space="preserve">       </t>
    </r>
    <r>
      <rPr>
        <sz val="11"/>
        <color indexed="8"/>
        <rFont val="Verdana"/>
        <family val="2"/>
      </rPr>
      <t>Thierry Lechler, UCF</t>
    </r>
  </si>
  <si>
    <r>
      <t>•</t>
    </r>
    <r>
      <rPr>
        <sz val="7"/>
        <color indexed="8"/>
        <rFont val="Verdana"/>
        <family val="2"/>
      </rPr>
      <t xml:space="preserve">       </t>
    </r>
    <r>
      <rPr>
        <sz val="11"/>
        <color indexed="8"/>
        <rFont val="Verdana"/>
        <family val="2"/>
      </rPr>
      <t>Sung Lee, Howard Community  College</t>
    </r>
  </si>
  <si>
    <r>
      <t>•</t>
    </r>
    <r>
      <rPr>
        <sz val="7"/>
        <color indexed="8"/>
        <rFont val="Verdana"/>
        <family val="2"/>
      </rPr>
      <t xml:space="preserve">       </t>
    </r>
    <r>
      <rPr>
        <sz val="11"/>
        <color indexed="8"/>
        <rFont val="Verdana"/>
        <family val="2"/>
      </rPr>
      <t>Matthew Long, University of NebraskaMary McKee, Duke University</t>
    </r>
  </si>
  <si>
    <r>
      <t>•</t>
    </r>
    <r>
      <rPr>
        <sz val="7"/>
        <color indexed="8"/>
        <rFont val="Verdana"/>
        <family val="2"/>
      </rPr>
      <t xml:space="preserve">       </t>
    </r>
    <r>
      <rPr>
        <sz val="11"/>
        <color indexed="8"/>
        <rFont val="Verdana"/>
        <family val="2"/>
      </rPr>
      <t>Jeff Miller, University of Central Oklahoma</t>
    </r>
  </si>
  <si>
    <r>
      <t>•</t>
    </r>
    <r>
      <rPr>
        <sz val="7"/>
        <color indexed="8"/>
        <rFont val="Verdana"/>
        <family val="2"/>
      </rPr>
      <t xml:space="preserve">       </t>
    </r>
    <r>
      <rPr>
        <sz val="11"/>
        <color indexed="8"/>
        <rFont val="Verdana"/>
        <family val="2"/>
      </rPr>
      <t>Steven Premeau, University of Maine</t>
    </r>
  </si>
  <si>
    <r>
      <t>•</t>
    </r>
    <r>
      <rPr>
        <sz val="7"/>
        <color indexed="8"/>
        <rFont val="Verdana"/>
        <family val="2"/>
      </rPr>
      <t xml:space="preserve">       </t>
    </r>
    <r>
      <rPr>
        <sz val="11"/>
        <color indexed="8"/>
        <rFont val="Verdana"/>
        <family val="2"/>
      </rPr>
      <t>Laura Raderman, Carnegie Mellon University</t>
    </r>
  </si>
  <si>
    <r>
      <t>•</t>
    </r>
    <r>
      <rPr>
        <sz val="7"/>
        <color indexed="8"/>
        <rFont val="Verdana"/>
        <family val="2"/>
      </rPr>
      <t xml:space="preserve">       </t>
    </r>
    <r>
      <rPr>
        <sz val="11"/>
        <color indexed="8"/>
        <rFont val="Verdana"/>
        <family val="2"/>
      </rPr>
      <t>Mark Rank, Cirrus Identity</t>
    </r>
  </si>
  <si>
    <r>
      <t>•</t>
    </r>
    <r>
      <rPr>
        <sz val="7"/>
        <color indexed="8"/>
        <rFont val="Verdana"/>
        <family val="2"/>
      </rPr>
      <t xml:space="preserve">       </t>
    </r>
    <r>
      <rPr>
        <sz val="11"/>
        <color indexed="8"/>
        <rFont val="Verdana"/>
        <family val="2"/>
      </rPr>
      <t>Nicole Roy, Internet2</t>
    </r>
  </si>
  <si>
    <r>
      <t>•</t>
    </r>
    <r>
      <rPr>
        <sz val="7"/>
        <color indexed="8"/>
        <rFont val="Verdana"/>
        <family val="2"/>
      </rPr>
      <t xml:space="preserve">       </t>
    </r>
    <r>
      <rPr>
        <sz val="11"/>
        <color indexed="8"/>
        <rFont val="Verdana"/>
        <family val="2"/>
      </rPr>
      <t>Carmen Schafer, University of Missouri</t>
    </r>
  </si>
  <si>
    <r>
      <t>•</t>
    </r>
    <r>
      <rPr>
        <sz val="7"/>
        <color indexed="8"/>
        <rFont val="Verdana"/>
        <family val="2"/>
      </rPr>
      <t xml:space="preserve">       </t>
    </r>
    <r>
      <rPr>
        <sz val="11"/>
        <color indexed="8"/>
        <rFont val="Verdana"/>
        <family val="2"/>
      </rPr>
      <t>Kyle Shachmut, Harvard University, IT Accessibility CG Co-Chair</t>
    </r>
  </si>
  <si>
    <r>
      <t>•</t>
    </r>
    <r>
      <rPr>
        <sz val="7"/>
        <color indexed="8"/>
        <rFont val="Verdana"/>
        <family val="2"/>
      </rPr>
      <t xml:space="preserve">       </t>
    </r>
    <r>
      <rPr>
        <sz val="11"/>
        <color indexed="8"/>
        <rFont val="Verdana"/>
        <family val="2"/>
      </rPr>
      <t>Eudora Struble, Wake Forest University</t>
    </r>
  </si>
  <si>
    <r>
      <t>•</t>
    </r>
    <r>
      <rPr>
        <sz val="7"/>
        <color indexed="8"/>
        <rFont val="Verdana"/>
        <family val="2"/>
      </rPr>
      <t xml:space="preserve">       </t>
    </r>
    <r>
      <rPr>
        <sz val="11"/>
        <color indexed="8"/>
        <rFont val="Verdana"/>
        <family val="2"/>
      </rPr>
      <t>Kate Tipton, California State University at Northridge</t>
    </r>
  </si>
  <si>
    <r>
      <t>•</t>
    </r>
    <r>
      <rPr>
        <sz val="7"/>
        <color indexed="8"/>
        <rFont val="Verdana"/>
        <family val="2"/>
      </rPr>
      <t xml:space="preserve">       </t>
    </r>
    <r>
      <rPr>
        <sz val="11"/>
        <color indexed="8"/>
        <rFont val="Verdana"/>
        <family val="2"/>
      </rPr>
      <t>Jeffrey Tomaszewski, University of Michigan</t>
    </r>
  </si>
  <si>
    <r>
      <t>•</t>
    </r>
    <r>
      <rPr>
        <sz val="7"/>
        <color indexed="8"/>
        <rFont val="Verdana"/>
        <family val="2"/>
      </rPr>
      <t xml:space="preserve">       </t>
    </r>
    <r>
      <rPr>
        <sz val="11"/>
        <color indexed="8"/>
        <rFont val="Verdana"/>
        <family val="2"/>
      </rPr>
      <t>Luke Watson, Virginia Tech</t>
    </r>
  </si>
  <si>
    <r>
      <t>•</t>
    </r>
    <r>
      <rPr>
        <sz val="7"/>
        <color indexed="8"/>
        <rFont val="Verdana"/>
        <family val="2"/>
      </rPr>
      <t xml:space="preserve">       </t>
    </r>
    <r>
      <rPr>
        <sz val="11"/>
        <color indexed="8"/>
        <rFont val="Verdana"/>
        <family val="2"/>
      </rPr>
      <t>Todd Weissenberger, University of Iowa</t>
    </r>
  </si>
  <si>
    <r>
      <t>•</t>
    </r>
    <r>
      <rPr>
        <sz val="7"/>
        <color indexed="8"/>
        <rFont val="Verdana"/>
        <family val="2"/>
      </rPr>
      <t xml:space="preserve">       </t>
    </r>
    <r>
      <rPr>
        <sz val="11"/>
        <color indexed="8"/>
        <rFont val="Verdana"/>
        <family val="2"/>
      </rPr>
      <t>William Wetherill, University of North Carolina Wilmington</t>
    </r>
  </si>
  <si>
    <r>
      <t>•</t>
    </r>
    <r>
      <rPr>
        <sz val="7"/>
        <color indexed="8"/>
        <rFont val="Verdana"/>
        <family val="2"/>
      </rPr>
      <t xml:space="preserve">       </t>
    </r>
    <r>
      <rPr>
        <sz val="11"/>
        <color indexed="8"/>
        <rFont val="Verdana"/>
        <family val="2"/>
      </rPr>
      <t>John Zage, University of Illinois- National Center for Supercomputing Applications</t>
    </r>
  </si>
  <si>
    <r>
      <t>•</t>
    </r>
    <r>
      <rPr>
        <sz val="7"/>
        <color indexed="8"/>
        <rFont val="Verdana"/>
        <family val="2"/>
      </rPr>
      <t xml:space="preserve">       </t>
    </r>
    <r>
      <rPr>
        <sz val="11"/>
        <color indexed="8"/>
        <rFont val="Verdana"/>
        <family val="2"/>
      </rPr>
      <t>Deb Zsigalov, Tennessee Technological University</t>
    </r>
  </si>
  <si>
    <t>Members who contributed to Phase IV (2019) of this effort are:</t>
  </si>
  <si>
    <r>
      <t>•</t>
    </r>
    <r>
      <rPr>
        <sz val="7"/>
        <color indexed="8"/>
        <rFont val="Verdana"/>
        <family val="2"/>
      </rPr>
      <t xml:space="preserve">       </t>
    </r>
    <r>
      <rPr>
        <sz val="11"/>
        <color indexed="8"/>
        <rFont val="Verdana"/>
        <family val="2"/>
      </rPr>
      <t>Jon Allen, Baylor University (working group chair)</t>
    </r>
  </si>
  <si>
    <r>
      <t>•</t>
    </r>
    <r>
      <rPr>
        <sz val="7"/>
        <color indexed="8"/>
        <rFont val="Verdana"/>
        <family val="2"/>
      </rPr>
      <t xml:space="preserve">       </t>
    </r>
    <r>
      <rPr>
        <sz val="11"/>
        <color indexed="8"/>
        <rFont val="Verdana"/>
        <family val="2"/>
      </rPr>
      <t>Matthew Buss, Internet2</t>
    </r>
  </si>
  <si>
    <r>
      <t>•</t>
    </r>
    <r>
      <rPr>
        <sz val="7"/>
        <color indexed="8"/>
        <rFont val="Verdana"/>
        <family val="2"/>
      </rPr>
      <t xml:space="preserve">       </t>
    </r>
    <r>
      <rPr>
        <sz val="11"/>
        <color indexed="8"/>
        <rFont val="Verdana"/>
        <family val="2"/>
      </rPr>
      <t>Josh Callahan, Humboldt State University</t>
    </r>
  </si>
  <si>
    <r>
      <t>•</t>
    </r>
    <r>
      <rPr>
        <sz val="7"/>
        <color indexed="8"/>
        <rFont val="Verdana"/>
        <family val="2"/>
      </rPr>
      <t xml:space="preserve">       </t>
    </r>
    <r>
      <rPr>
        <sz val="11"/>
        <color indexed="8"/>
        <rFont val="Verdana"/>
        <family val="2"/>
      </rPr>
      <t>Andrea Childress, University of Nebraska</t>
    </r>
  </si>
  <si>
    <r>
      <t>•</t>
    </r>
    <r>
      <rPr>
        <sz val="7"/>
        <color indexed="8"/>
        <rFont val="Verdana"/>
        <family val="2"/>
      </rPr>
      <t xml:space="preserve">       </t>
    </r>
    <r>
      <rPr>
        <sz val="11"/>
        <color indexed="8"/>
        <rFont val="Verdana"/>
        <family val="2"/>
      </rPr>
      <t>Tom Coffy, University of Tennessee</t>
    </r>
  </si>
  <si>
    <r>
      <t>•</t>
    </r>
    <r>
      <rPr>
        <sz val="7"/>
        <color indexed="8"/>
        <rFont val="Verdana"/>
        <family val="2"/>
      </rPr>
      <t xml:space="preserve">       </t>
    </r>
    <r>
      <rPr>
        <sz val="11"/>
        <color indexed="8"/>
        <rFont val="Verdana"/>
        <family val="2"/>
      </rPr>
      <t>Susan Coleman, REN-ISAC</t>
    </r>
  </si>
  <si>
    <r>
      <t>•</t>
    </r>
    <r>
      <rPr>
        <sz val="7"/>
        <color indexed="8"/>
        <rFont val="Verdana"/>
        <family val="2"/>
      </rPr>
      <t xml:space="preserve">       </t>
    </r>
    <r>
      <rPr>
        <sz val="11"/>
        <color indexed="8"/>
        <rFont val="Verdana"/>
        <family val="2"/>
      </rPr>
      <t>Susan Cullen, CSU Office of the Chancellor</t>
    </r>
  </si>
  <si>
    <r>
      <t>•</t>
    </r>
    <r>
      <rPr>
        <sz val="7"/>
        <color indexed="8"/>
        <rFont val="Verdana"/>
        <family val="2"/>
      </rPr>
      <t xml:space="preserve">       </t>
    </r>
    <r>
      <rPr>
        <sz val="11"/>
        <color indexed="8"/>
        <rFont val="Verdana"/>
        <family val="2"/>
      </rPr>
      <t>Michael Cyr, University of Maine System</t>
    </r>
  </si>
  <si>
    <r>
      <t>•</t>
    </r>
    <r>
      <rPr>
        <sz val="7"/>
        <color indexed="8"/>
        <rFont val="Verdana"/>
        <family val="2"/>
      </rPr>
      <t xml:space="preserve">       </t>
    </r>
    <r>
      <rPr>
        <sz val="11"/>
        <color indexed="8"/>
        <rFont val="Verdana"/>
        <family val="2"/>
      </rPr>
      <t>Debra Dandridge, Texas A&amp;M University</t>
    </r>
  </si>
  <si>
    <r>
      <t>•</t>
    </r>
    <r>
      <rPr>
        <sz val="7"/>
        <color indexed="8"/>
        <rFont val="Verdana"/>
        <family val="2"/>
      </rPr>
      <t xml:space="preserve">       </t>
    </r>
    <r>
      <rPr>
        <sz val="11"/>
        <color indexed="8"/>
        <rFont val="Verdana"/>
        <family val="2"/>
      </rPr>
      <t>Niranjan Davray, Colgate University</t>
    </r>
  </si>
  <si>
    <r>
      <t>•</t>
    </r>
    <r>
      <rPr>
        <sz val="7"/>
        <color indexed="8"/>
        <rFont val="Verdana"/>
        <family val="2"/>
      </rPr>
      <t xml:space="preserve">       </t>
    </r>
    <r>
      <rPr>
        <sz val="11"/>
        <color indexed="8"/>
        <rFont val="Verdana"/>
        <family val="2"/>
      </rPr>
      <t>Charles Escue, Indiana University</t>
    </r>
  </si>
  <si>
    <r>
      <t>•</t>
    </r>
    <r>
      <rPr>
        <sz val="7"/>
        <color indexed="8"/>
        <rFont val="Verdana"/>
        <family val="2"/>
      </rPr>
      <t xml:space="preserve">       </t>
    </r>
    <r>
      <rPr>
        <sz val="11"/>
        <color indexed="8"/>
        <rFont val="Verdana"/>
        <family val="2"/>
      </rPr>
      <t>Carl Flynn, Baylor University</t>
    </r>
  </si>
  <si>
    <r>
      <t>•</t>
    </r>
    <r>
      <rPr>
        <sz val="7"/>
        <color indexed="8"/>
        <rFont val="Verdana"/>
        <family val="2"/>
      </rPr>
      <t xml:space="preserve">       </t>
    </r>
    <r>
      <rPr>
        <sz val="11"/>
        <color indexed="8"/>
        <rFont val="Verdana"/>
        <family val="2"/>
      </rPr>
      <t>Ruth Ginzberg, University of Wisconsin System</t>
    </r>
  </si>
  <si>
    <r>
      <t>•</t>
    </r>
    <r>
      <rPr>
        <sz val="7"/>
        <color indexed="8"/>
        <rFont val="Verdana"/>
        <family val="2"/>
      </rPr>
      <t xml:space="preserve">       </t>
    </r>
    <r>
      <rPr>
        <sz val="11"/>
        <color indexed="8"/>
        <rFont val="Verdana"/>
        <family val="2"/>
      </rPr>
      <t>Sean Hagan, Yavapai College</t>
    </r>
  </si>
  <si>
    <r>
      <t>•</t>
    </r>
    <r>
      <rPr>
        <sz val="7"/>
        <color indexed="8"/>
        <rFont val="Verdana"/>
        <family val="2"/>
      </rPr>
      <t xml:space="preserve">       </t>
    </r>
    <r>
      <rPr>
        <sz val="11"/>
        <color indexed="8"/>
        <rFont val="Verdana"/>
        <family val="2"/>
      </rPr>
      <t>Daphne Ireland, Princeton</t>
    </r>
  </si>
  <si>
    <r>
      <t>•</t>
    </r>
    <r>
      <rPr>
        <sz val="7"/>
        <color indexed="8"/>
        <rFont val="Verdana"/>
        <family val="2"/>
      </rPr>
      <t xml:space="preserve">       </t>
    </r>
    <r>
      <rPr>
        <sz val="11"/>
        <color indexed="8"/>
        <rFont val="Verdana"/>
        <family val="2"/>
      </rPr>
      <t>Brian Kelly, EDUCAUSE</t>
    </r>
  </si>
  <si>
    <r>
      <t>•</t>
    </r>
    <r>
      <rPr>
        <sz val="7"/>
        <color indexed="8"/>
        <rFont val="Verdana"/>
        <family val="2"/>
      </rPr>
      <t xml:space="preserve">       </t>
    </r>
    <r>
      <rPr>
        <sz val="11"/>
        <color indexed="8"/>
        <rFont val="Verdana"/>
        <family val="2"/>
      </rPr>
      <t>Amy Kobezak, Virginia Tech</t>
    </r>
  </si>
  <si>
    <r>
      <t>•</t>
    </r>
    <r>
      <rPr>
        <sz val="7"/>
        <color indexed="8"/>
        <rFont val="Verdana"/>
        <family val="2"/>
      </rPr>
      <t xml:space="preserve">       </t>
    </r>
    <r>
      <rPr>
        <sz val="11"/>
        <color indexed="8"/>
        <rFont val="Verdana"/>
        <family val="2"/>
      </rPr>
      <t>Nick Lewis, Internet2</t>
    </r>
  </si>
  <si>
    <r>
      <t>•</t>
    </r>
    <r>
      <rPr>
        <sz val="7"/>
        <color indexed="8"/>
        <rFont val="Verdana"/>
        <family val="2"/>
      </rPr>
      <t xml:space="preserve">       </t>
    </r>
    <r>
      <rPr>
        <sz val="11"/>
        <color indexed="8"/>
        <rFont val="Verdana"/>
        <family val="2"/>
      </rPr>
      <t>Sue McGlashan, University of Toronto</t>
    </r>
  </si>
  <si>
    <r>
      <t>•</t>
    </r>
    <r>
      <rPr>
        <sz val="7"/>
        <color indexed="8"/>
        <rFont val="Verdana"/>
        <family val="2"/>
      </rPr>
      <t xml:space="preserve">       </t>
    </r>
    <r>
      <rPr>
        <sz val="11"/>
        <color indexed="8"/>
        <rFont val="Verdana"/>
        <family val="2"/>
      </rPr>
      <t>Hector Molina, East Carolina University</t>
    </r>
  </si>
  <si>
    <r>
      <t>•</t>
    </r>
    <r>
      <rPr>
        <sz val="7"/>
        <color indexed="8"/>
        <rFont val="Verdana"/>
        <family val="2"/>
      </rPr>
      <t xml:space="preserve">       </t>
    </r>
    <r>
      <rPr>
        <sz val="11"/>
        <color indexed="8"/>
        <rFont val="Verdana"/>
        <family val="2"/>
      </rPr>
      <t>Mark Nichols, Virginia Tech</t>
    </r>
  </si>
  <si>
    <r>
      <t>•</t>
    </r>
    <r>
      <rPr>
        <sz val="7"/>
        <color indexed="8"/>
        <rFont val="Verdana"/>
        <family val="2"/>
      </rPr>
      <t xml:space="preserve">       </t>
    </r>
    <r>
      <rPr>
        <sz val="11"/>
        <color indexed="8"/>
        <rFont val="Verdana"/>
        <family val="2"/>
      </rPr>
      <t>Kyle Shachmut, Harvard University</t>
    </r>
  </si>
  <si>
    <r>
      <t>•</t>
    </r>
    <r>
      <rPr>
        <sz val="7"/>
        <color indexed="8"/>
        <rFont val="Verdana"/>
        <family val="2"/>
      </rPr>
      <t xml:space="preserve">       </t>
    </r>
    <r>
      <rPr>
        <sz val="11"/>
        <color indexed="8"/>
        <rFont val="Verdana"/>
        <family val="2"/>
      </rPr>
      <t>Bob Smith, Longwood University</t>
    </r>
  </si>
  <si>
    <r>
      <t>•</t>
    </r>
    <r>
      <rPr>
        <sz val="7"/>
        <color indexed="8"/>
        <rFont val="Verdana"/>
        <family val="2"/>
      </rPr>
      <t xml:space="preserve">       </t>
    </r>
    <r>
      <rPr>
        <sz val="11"/>
        <color indexed="8"/>
        <rFont val="Verdana"/>
        <family val="2"/>
      </rPr>
      <t>Kyle Smith, Georgia Tech</t>
    </r>
  </si>
  <si>
    <r>
      <t>•</t>
    </r>
    <r>
      <rPr>
        <sz val="7"/>
        <color indexed="8"/>
        <rFont val="Verdana"/>
        <family val="2"/>
      </rPr>
      <t xml:space="preserve">       </t>
    </r>
    <r>
      <rPr>
        <sz val="11"/>
        <color indexed="8"/>
        <rFont val="Verdana"/>
        <family val="2"/>
      </rPr>
      <t>Christian Vinten-Johansen, Penn State University</t>
    </r>
  </si>
  <si>
    <r>
      <t>•</t>
    </r>
    <r>
      <rPr>
        <sz val="7"/>
        <color indexed="8"/>
        <rFont val="Verdana"/>
        <family val="2"/>
      </rPr>
      <t xml:space="preserve">       </t>
    </r>
    <r>
      <rPr>
        <sz val="11"/>
        <color indexed="8"/>
        <rFont val="Verdana"/>
        <family val="2"/>
      </rPr>
      <t>Valerie Vogel, EDUCAUSE</t>
    </r>
  </si>
  <si>
    <t>Members who contributed to Phase III (2018) of this effort are:</t>
  </si>
  <si>
    <r>
      <t>•</t>
    </r>
    <r>
      <rPr>
        <sz val="7"/>
        <color indexed="8"/>
        <rFont val="Verdana"/>
        <family val="2"/>
      </rPr>
      <t xml:space="preserve">       </t>
    </r>
    <r>
      <rPr>
        <sz val="11"/>
        <color indexed="8"/>
        <rFont val="Verdana"/>
        <family val="2"/>
      </rPr>
      <t xml:space="preserve">Jon Allen, Baylor University </t>
    </r>
  </si>
  <si>
    <r>
      <t>•</t>
    </r>
    <r>
      <rPr>
        <sz val="7"/>
        <color indexed="8"/>
        <rFont val="Verdana"/>
        <family val="2"/>
      </rPr>
      <t xml:space="preserve">       </t>
    </r>
    <r>
      <rPr>
        <sz val="11"/>
        <color indexed="8"/>
        <rFont val="Verdana"/>
        <family val="2"/>
      </rPr>
      <t>Joanna Grama, EDUCAUSE</t>
    </r>
  </si>
  <si>
    <r>
      <t>•</t>
    </r>
    <r>
      <rPr>
        <sz val="7"/>
        <color indexed="8"/>
        <rFont val="Verdana"/>
        <family val="2"/>
      </rPr>
      <t xml:space="preserve">       </t>
    </r>
    <r>
      <rPr>
        <sz val="11"/>
        <color indexed="8"/>
        <rFont val="Verdana"/>
        <family val="2"/>
      </rPr>
      <t>Todd Herring, REN-ISAC</t>
    </r>
  </si>
  <si>
    <r>
      <t>•</t>
    </r>
    <r>
      <rPr>
        <sz val="7"/>
        <color indexed="8"/>
        <rFont val="Verdana"/>
        <family val="2"/>
      </rPr>
      <t xml:space="preserve">       </t>
    </r>
    <r>
      <rPr>
        <sz val="11"/>
        <color indexed="8"/>
        <rFont val="Verdana"/>
        <family val="2"/>
      </rPr>
      <t>Jefferson Hopkins, Purdue University</t>
    </r>
  </si>
  <si>
    <r>
      <t>•</t>
    </r>
    <r>
      <rPr>
        <sz val="7"/>
        <color indexed="8"/>
        <rFont val="Verdana"/>
        <family val="2"/>
      </rPr>
      <t xml:space="preserve">       </t>
    </r>
    <r>
      <rPr>
        <sz val="11"/>
        <color indexed="8"/>
        <rFont val="Verdana"/>
        <family val="2"/>
      </rPr>
      <t>Alex Jalso, West Virginia University</t>
    </r>
  </si>
  <si>
    <r>
      <t>•</t>
    </r>
    <r>
      <rPr>
        <sz val="7"/>
        <color indexed="8"/>
        <rFont val="Verdana"/>
        <family val="2"/>
      </rPr>
      <t xml:space="preserve">       </t>
    </r>
    <r>
      <rPr>
        <sz val="11"/>
        <color indexed="8"/>
        <rFont val="Verdana"/>
        <family val="2"/>
      </rPr>
      <t>Kim Milford, REN-ISAC</t>
    </r>
  </si>
  <si>
    <r>
      <t>•</t>
    </r>
    <r>
      <rPr>
        <sz val="7"/>
        <color indexed="8"/>
        <rFont val="Verdana"/>
        <family val="2"/>
      </rPr>
      <t xml:space="preserve">       </t>
    </r>
    <r>
      <rPr>
        <sz val="11"/>
        <color indexed="8"/>
        <rFont val="Verdana"/>
        <family val="2"/>
      </rPr>
      <t>Amanda Sarratore, University of Notre Dame</t>
    </r>
  </si>
  <si>
    <r>
      <t>•</t>
    </r>
    <r>
      <rPr>
        <sz val="7"/>
        <color indexed="8"/>
        <rFont val="Verdana"/>
        <family val="2"/>
      </rPr>
      <t xml:space="preserve">       </t>
    </r>
    <r>
      <rPr>
        <sz val="11"/>
        <color indexed="8"/>
        <rFont val="Verdana"/>
        <family val="2"/>
      </rPr>
      <t>Gary Taylor, York University</t>
    </r>
  </si>
  <si>
    <r>
      <t>•</t>
    </r>
    <r>
      <rPr>
        <sz val="7"/>
        <color indexed="8"/>
        <rFont val="Verdana"/>
        <family val="2"/>
      </rPr>
      <t xml:space="preserve">       </t>
    </r>
    <r>
      <rPr>
        <sz val="11"/>
        <color indexed="8"/>
        <rFont val="Verdana"/>
        <family val="2"/>
      </rPr>
      <t>Gene Willacker, Michigan State University</t>
    </r>
  </si>
  <si>
    <r>
      <t>•</t>
    </r>
    <r>
      <rPr>
        <sz val="7"/>
        <color indexed="8"/>
        <rFont val="Verdana"/>
        <family val="2"/>
      </rPr>
      <t xml:space="preserve">       </t>
    </r>
    <r>
      <rPr>
        <sz val="11"/>
        <color indexed="8"/>
        <rFont val="Verdana"/>
        <family val="2"/>
      </rPr>
      <t>David Zeichick, California State University, Chico</t>
    </r>
  </si>
  <si>
    <t>Members who contributed to Phase II (2017) of this effort are:</t>
  </si>
  <si>
    <r>
      <t>•</t>
    </r>
    <r>
      <rPr>
        <sz val="7"/>
        <color indexed="8"/>
        <rFont val="Verdana"/>
        <family val="2"/>
      </rPr>
      <t xml:space="preserve">       </t>
    </r>
    <r>
      <rPr>
        <sz val="11"/>
        <color indexed="8"/>
        <rFont val="Verdana"/>
        <family val="2"/>
      </rPr>
      <t>Samantha Birk, IMS Global Learning Consortium</t>
    </r>
  </si>
  <si>
    <r>
      <t>•</t>
    </r>
    <r>
      <rPr>
        <sz val="7"/>
        <color indexed="8"/>
        <rFont val="Verdana"/>
        <family val="2"/>
      </rPr>
      <t xml:space="preserve">       </t>
    </r>
    <r>
      <rPr>
        <sz val="11"/>
        <color indexed="8"/>
        <rFont val="Verdana"/>
        <family val="2"/>
      </rPr>
      <t>Jeff Bohrer, IMS Global Learning Consortium</t>
    </r>
  </si>
  <si>
    <r>
      <t>•</t>
    </r>
    <r>
      <rPr>
        <sz val="7"/>
        <color indexed="8"/>
        <rFont val="Verdana"/>
        <family val="2"/>
      </rPr>
      <t xml:space="preserve">       </t>
    </r>
    <r>
      <rPr>
        <sz val="11"/>
        <color indexed="8"/>
        <rFont val="Verdana"/>
        <family val="2"/>
      </rPr>
      <t>Sarah Braun, University of Colorado - Denver</t>
    </r>
  </si>
  <si>
    <r>
      <t>•</t>
    </r>
    <r>
      <rPr>
        <sz val="7"/>
        <color indexed="8"/>
        <rFont val="Verdana"/>
        <family val="2"/>
      </rPr>
      <t xml:space="preserve">       </t>
    </r>
    <r>
      <rPr>
        <sz val="11"/>
        <color indexed="8"/>
        <rFont val="Verdana"/>
        <family val="2"/>
      </rPr>
      <t>David Cassada, University of California - Davis</t>
    </r>
  </si>
  <si>
    <r>
      <t>•</t>
    </r>
    <r>
      <rPr>
        <sz val="7"/>
        <color indexed="8"/>
        <rFont val="Verdana"/>
        <family val="2"/>
      </rPr>
      <t xml:space="preserve">       </t>
    </r>
    <r>
      <rPr>
        <sz val="11"/>
        <color indexed="8"/>
        <rFont val="Verdana"/>
        <family val="2"/>
      </rPr>
      <t>Matthew Dalton, University of Massachusetts Amherst</t>
    </r>
  </si>
  <si>
    <r>
      <t>•</t>
    </r>
    <r>
      <rPr>
        <sz val="7"/>
        <color indexed="8"/>
        <rFont val="Verdana"/>
        <family val="2"/>
      </rPr>
      <t xml:space="preserve">       </t>
    </r>
    <r>
      <rPr>
        <sz val="11"/>
        <color indexed="8"/>
        <rFont val="Verdana"/>
        <family val="2"/>
      </rPr>
      <t>Kolin Hodgson, University of Notre Dame</t>
    </r>
  </si>
  <si>
    <r>
      <t>•</t>
    </r>
    <r>
      <rPr>
        <sz val="7"/>
        <color indexed="8"/>
        <rFont val="Verdana"/>
        <family val="2"/>
      </rPr>
      <t xml:space="preserve">       </t>
    </r>
    <r>
      <rPr>
        <sz val="11"/>
        <color indexed="8"/>
        <rFont val="Verdana"/>
        <family val="2"/>
      </rPr>
      <t>Tom Horton, Cornell University</t>
    </r>
  </si>
  <si>
    <r>
      <t>•</t>
    </r>
    <r>
      <rPr>
        <sz val="7"/>
        <color indexed="8"/>
        <rFont val="Verdana"/>
        <family val="2"/>
      </rPr>
      <t xml:space="preserve">       </t>
    </r>
    <r>
      <rPr>
        <sz val="11"/>
        <color indexed="8"/>
        <rFont val="Verdana"/>
        <family val="2"/>
      </rPr>
      <t>Leo Howell, North Carolina State University</t>
    </r>
  </si>
  <si>
    <r>
      <t>•</t>
    </r>
    <r>
      <rPr>
        <sz val="7"/>
        <color indexed="8"/>
        <rFont val="Verdana"/>
        <family val="2"/>
      </rPr>
      <t xml:space="preserve">       </t>
    </r>
    <r>
      <rPr>
        <sz val="11"/>
        <color indexed="8"/>
        <rFont val="Verdana"/>
        <family val="2"/>
      </rPr>
      <t>Wyman Miles, Cornell University</t>
    </r>
  </si>
  <si>
    <t>Members who contributed to Phase I (2016) of this effort are:</t>
  </si>
  <si>
    <r>
      <t>•</t>
    </r>
    <r>
      <rPr>
        <sz val="7"/>
        <color indexed="8"/>
        <rFont val="Verdana"/>
        <family val="2"/>
      </rPr>
      <t xml:space="preserve">       </t>
    </r>
    <r>
      <rPr>
        <sz val="11"/>
        <color indexed="8"/>
        <rFont val="Verdana"/>
        <family val="2"/>
      </rPr>
      <t>John Bruggeman, Hebrew Union College, Jewish Institute of Religion</t>
    </r>
  </si>
  <si>
    <r>
      <t>•</t>
    </r>
    <r>
      <rPr>
        <sz val="7"/>
        <color indexed="8"/>
        <rFont val="Verdana"/>
        <family val="2"/>
      </rPr>
      <t xml:space="preserve">       </t>
    </r>
    <r>
      <rPr>
        <sz val="11"/>
        <color indexed="8"/>
        <rFont val="Verdana"/>
        <family val="2"/>
      </rPr>
      <t xml:space="preserve">Karl Hassler, University of Delaware </t>
    </r>
  </si>
  <si>
    <r>
      <t>•</t>
    </r>
    <r>
      <rPr>
        <sz val="7"/>
        <color indexed="8"/>
        <rFont val="Verdana"/>
        <family val="2"/>
      </rPr>
      <t xml:space="preserve">       </t>
    </r>
    <r>
      <rPr>
        <sz val="11"/>
        <color indexed="8"/>
        <rFont val="Verdana"/>
        <family val="2"/>
      </rPr>
      <t>Craig Munson, Minnesota State Colleges &amp; Universities</t>
    </r>
  </si>
  <si>
    <r>
      <t>•</t>
    </r>
    <r>
      <rPr>
        <sz val="7"/>
        <color indexed="8"/>
        <rFont val="Verdana"/>
        <family val="2"/>
      </rPr>
      <t xml:space="preserve">       </t>
    </r>
    <r>
      <rPr>
        <sz val="11"/>
        <color indexed="8"/>
        <rFont val="Verdana"/>
        <family val="2"/>
      </rPr>
      <t xml:space="preserve">Mitch Parks, University of Idaho </t>
    </r>
  </si>
  <si>
    <t xml:space="preserve">This worksheet contains the Change Log containing what has changed in each new version of the document. </t>
  </si>
  <si>
    <t>Higher Education Community Vendor Assessment Toolkit - Change Log</t>
  </si>
  <si>
    <t>HEISC Shared Assessments Working Group</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</si>
  <si>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</si>
  <si>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</si>
  <si>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</si>
  <si>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</si>
  <si>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</si>
  <si>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</si>
  <si>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</si>
  <si>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</si>
  <si>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</si>
  <si>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</si>
  <si>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</si>
  <si>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</si>
  <si>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</si>
  <si>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</si>
  <si>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</si>
  <si>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</si>
  <si>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</si>
  <si>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</si>
  <si>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</si>
  <si>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</si>
  <si>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</si>
  <si>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</si>
  <si>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</si>
  <si>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</si>
  <si>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</si>
  <si>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</si>
  <si>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</si>
  <si>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</si>
  <si>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</si>
  <si>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</si>
  <si>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</si>
  <si>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</si>
  <si>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</si>
  <si>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</si>
  <si>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v1.04</t>
  </si>
  <si>
    <t>Minor layout change in preparation for HECVAT-Lite split</t>
  </si>
  <si>
    <t>v1.05</t>
  </si>
  <si>
    <t>Changed University mentions to Institution; final version before SPC 2017</t>
  </si>
  <si>
    <t>v1.06</t>
  </si>
  <si>
    <t>Added standards crosswalk and Cloud Broker Index (CBI) information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</si>
  <si>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</si>
  <si>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</si>
  <si>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</si>
  <si>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</si>
  <si>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</si>
  <si>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</si>
  <si>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</si>
  <si>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</si>
  <si>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</si>
  <si>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Repaired versioning issues</t>
  </si>
  <si>
    <t>v2.10</t>
  </si>
  <si>
    <t>Updated name, converted question text on Standards Crosswalk tab to vlookups, added Analyst Reference, fixed external links</t>
  </si>
  <si>
    <t>v2.11</t>
  </si>
  <si>
    <t>Updated SSAE 16 to 18.  Fixed reference to Standards crosswalk on Summary Report.</t>
  </si>
  <si>
    <t>v3.0</t>
  </si>
  <si>
    <t>Substantial update, see blog post at https://er.educause.edu/articles/2021/10/hecvat-3-0-launches-to-outer-space</t>
  </si>
  <si>
    <t>v3.01</t>
  </si>
  <si>
    <t>Fixed VLOOKUP formulae between Analyst Report and Question tabs that were causing inconsistent results, fixed max score calculation on Values tab.  Updated DOCU-05 guidance</t>
  </si>
  <si>
    <t>Fixed Duplicate questions CHNG-14 and PPR-06.  Included analyst notes column linked from Analyst Report to main HECVAT Tab, corrected Analyst report display of Quantitative as Qualitative questions</t>
  </si>
  <si>
    <t>Fixed Analyst Guidance for CHNG-14 and PPR-06</t>
  </si>
  <si>
    <t>v3.02</t>
  </si>
  <si>
    <t>Corrected Analyst report display of AAA-18, Fixed Compliant answer to DATA-01</t>
  </si>
  <si>
    <t>V3.02</t>
  </si>
  <si>
    <t>Corrected Analyst override scoring and Values scoring table handling of Qual-0x optional sections.</t>
  </si>
  <si>
    <t>v3.03</t>
  </si>
  <si>
    <t>CHNG05-07 incorrectly showed as Qualitative on Analyst report.  DCTR08 and 12 incorrectly showed as Quantitative</t>
  </si>
  <si>
    <t>DCTR 13-16 using wrong data validation list</t>
  </si>
  <si>
    <t>CHNG-13 and CHNG-14 were duplicate questions, deleted and reordered</t>
  </si>
  <si>
    <t>PPR-06 and APPL-13 were duplicates, deleted APPL-13 and renumbered</t>
  </si>
  <si>
    <t>Fixed quantitative/qualitative incorrect listings on Analyst report and HECVAT tab</t>
  </si>
  <si>
    <t>Fixed AAAI-04-05 and DRPL 04 answers</t>
  </si>
  <si>
    <t>Fixed IH-04 guidance</t>
  </si>
  <si>
    <t>Acknowledgments updated - 2020, 2021; Instructions tab updated; numerous guidance updates</t>
  </si>
  <si>
    <t>v3.04</t>
  </si>
  <si>
    <t>Numerous scoring fixes and grammar refinements.</t>
  </si>
  <si>
    <t>v3.05</t>
  </si>
  <si>
    <t>Fixed issue with scoring from unselected QUALs adding to overall score, wording and scoring fixes, added alt text to images</t>
  </si>
  <si>
    <t xml:space="preserve">End of table data </t>
  </si>
  <si>
    <t xml:space="preserve">End of workbook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</si>
</sst>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0;;;@"/>
    <numFmt numFmtId="166" formatCode="0;;"/>
  </numFmts>
  <fonts count="57">
    <font>
      <sz val="12"/>
      <color indexed="8"/>
      <name val="Verdana"/>
    </font>
    <font>
      <sz val="11"/>
      <color indexed="8"/>
      <name val="Verdana"/>
      <family val="2"/>
    </font>
    <font>
      <b/>
      <sz val="12"/>
      <color theme="1"/>
      <name val="Verdana"/>
      <family val="2"/>
    </font>
    <font>
      <sz val="11"/>
      <color theme="1"/>
      <name val="Verdana"/>
      <family val="2"/>
    </font>
    <font>
      <b/>
      <sz val="14"/>
      <color theme="0"/>
      <name val="Verdana"/>
      <family val="2"/>
    </font>
    <font>
      <i/>
      <sz val="12"/>
      <color theme="1"/>
      <name val="Verdana"/>
      <family val="2"/>
    </font>
    <font>
      <b/>
      <sz val="20"/>
      <color theme="0"/>
      <name val="Verdana"/>
      <family val="2"/>
    </font>
    <font>
      <b/>
      <sz val="12"/>
      <color indexed="8"/>
      <name val="Verdana"/>
      <family val="2"/>
    </font>
    <font>
      <b/>
      <sz val="11"/>
      <color rgb="FFFF0000"/>
      <name val="Verdana"/>
      <family val="2"/>
    </font>
    <font>
      <b/>
      <sz val="14"/>
      <color rgb="FFFF0000"/>
      <name val="Verdana"/>
      <family val="2"/>
    </font>
    <font>
      <b/>
      <sz val="14"/>
      <color theme="1"/>
      <name val="Verdana"/>
      <family val="2"/>
    </font>
    <font>
      <b/>
      <sz val="12"/>
      <color theme="0"/>
      <name val="Verdana"/>
      <family val="2"/>
    </font>
    <font>
      <b/>
      <sz val="14"/>
      <color theme="0" tint="-0.249977111117893"/>
      <name val="Verdana"/>
      <family val="2"/>
    </font>
    <font>
      <sz val="12"/>
      <color theme="1"/>
      <name val="Verdana"/>
      <family val="2"/>
    </font>
    <font>
      <sz val="11"/>
      <color rgb="FFFF0000"/>
      <name val="Verdana"/>
      <family val="2"/>
    </font>
    <font>
      <sz val="10"/>
      <color rgb="FF000000"/>
      <name val="Arial"/>
      <family val="2"/>
    </font>
    <font>
      <sz val="12"/>
      <color indexed="8"/>
      <name val="Verdana"/>
      <family val="2"/>
    </font>
    <font>
      <b/>
      <sz val="11"/>
      <color indexed="8"/>
      <name val="Verdana"/>
      <family val="2"/>
    </font>
    <font>
      <sz val="11"/>
      <color theme="0"/>
      <name val="Verdana"/>
      <family val="2"/>
    </font>
    <font>
      <sz val="12"/>
      <color theme="0"/>
      <name val="Verdana"/>
      <family val="2"/>
    </font>
    <font>
      <u/>
      <sz val="12"/>
      <color theme="10"/>
      <name val="Verdana"/>
      <family val="2"/>
    </font>
    <font>
      <u/>
      <sz val="12"/>
      <color theme="11"/>
      <name val="Verdana"/>
      <family val="2"/>
    </font>
    <font>
      <b/>
      <sz val="12"/>
      <color rgb="FF000000"/>
      <name val="Verdana"/>
      <family val="2"/>
    </font>
    <font>
      <sz val="11"/>
      <color rgb="FF000000"/>
      <name val="Verdana"/>
      <family val="2"/>
    </font>
    <font>
      <sz val="12"/>
      <color rgb="FF000000"/>
      <name val="Verdana"/>
      <family val="2"/>
    </font>
    <font>
      <sz val="12"/>
      <color rgb="FF000000"/>
      <name val="Verdana"/>
      <family val="2"/>
    </font>
    <font>
      <sz val="10"/>
      <name val="Arial"/>
      <family val="2"/>
    </font>
    <font>
      <sz val="12"/>
      <color indexed="8"/>
      <name val="Helvetica"/>
      <family val="2"/>
      <scheme val="minor"/>
    </font>
    <font>
      <sz val="10"/>
      <color theme="1"/>
      <name val="Helvetica"/>
      <family val="2"/>
      <scheme val="minor"/>
    </font>
    <font>
      <sz val="10"/>
      <color rgb="FF231F20"/>
      <name val="Helvetica"/>
      <family val="2"/>
      <scheme val="minor"/>
    </font>
    <font>
      <b/>
      <sz val="10"/>
      <color rgb="FF231F20"/>
      <name val="Helvetica"/>
      <family val="2"/>
      <scheme val="minor"/>
    </font>
    <font>
      <sz val="10"/>
      <color rgb="FF000000"/>
      <name val="Helvetica"/>
      <family val="2"/>
      <scheme val="minor"/>
    </font>
    <font>
      <sz val="10"/>
      <name val="Arial"/>
      <family val="2"/>
    </font>
    <font>
      <b/>
      <sz val="11"/>
      <color rgb="FF000000"/>
      <name val="Verdana"/>
      <family val="2"/>
    </font>
    <font>
      <i/>
      <sz val="11"/>
      <color rgb="FF000000"/>
      <name val="Verdana"/>
      <family val="2"/>
    </font>
    <font>
      <sz val="11"/>
      <name val="Verdana"/>
      <family val="2"/>
    </font>
    <font>
      <sz val="9"/>
      <color indexed="8"/>
      <name val="Verdana"/>
      <family val="2"/>
    </font>
    <font>
      <b/>
      <sz val="16"/>
      <color indexed="8"/>
      <name val="Verdana"/>
      <family val="2"/>
    </font>
    <font>
      <b/>
      <sz val="14"/>
      <color rgb="FFFFFFFF"/>
      <name val="Verdana"/>
      <family val="2"/>
    </font>
    <font>
      <sz val="11"/>
      <color rgb="FF000000"/>
      <name val="Arial"/>
      <family val="2"/>
    </font>
    <font>
      <b/>
      <sz val="14"/>
      <color indexed="8"/>
      <name val="Verdana"/>
      <family val="2"/>
    </font>
    <font>
      <sz val="12"/>
      <color rgb="FFFF0000"/>
      <name val="Verdana"/>
      <family val="2"/>
    </font>
    <font>
      <b/>
      <sz val="11"/>
      <color rgb="FFC00000"/>
      <name val="Verdana"/>
      <family val="2"/>
    </font>
    <font>
      <sz val="12"/>
      <name val="Verdana"/>
      <family val="2"/>
    </font>
    <font>
      <b/>
      <sz val="20"/>
      <color rgb="FFFFFFFF"/>
      <name val="Verdana"/>
      <family val="2"/>
    </font>
    <font>
      <b/>
      <sz val="14"/>
      <color rgb="FF000000"/>
      <name val="Verdana"/>
      <family val="2"/>
    </font>
    <font>
      <b/>
      <sz val="16"/>
      <color theme="0"/>
      <name val="Verdana"/>
      <family val="2"/>
    </font>
    <font>
      <sz val="12"/>
      <color rgb="FF000000"/>
      <name val="Verdana"/>
      <family val="2"/>
    </font>
    <font>
      <sz val="8"/>
      <name val="Verdana"/>
      <family val="2"/>
    </font>
    <font>
      <b/>
      <sz val="16"/>
      <color theme="1"/>
      <name val="Verdana"/>
      <family val="2"/>
    </font>
    <font>
      <sz val="14"/>
      <color theme="1"/>
      <name val="Verdana"/>
      <family val="2"/>
    </font>
    <font>
      <b/>
      <sz val="16"/>
      <color rgb="FF000000"/>
      <name val="Verdana"/>
      <family val="2"/>
    </font>
    <font>
      <sz val="10"/>
      <color theme="0"/>
      <name val="Arial"/>
      <family val="2"/>
    </font>
    <font>
      <sz val="11"/>
      <color rgb="FFF3F1FF"/>
      <name val="Verdana"/>
      <family val="2"/>
    </font>
    <font>
      <sz val="11"/>
      <color indexed="8"/>
      <name val="Arial"/>
      <family val="2"/>
    </font>
    <font>
      <sz val="7"/>
      <color indexed="8"/>
      <name val="Verdana"/>
      <family val="2"/>
    </font>
    <font>
      <sz val="10"/>
      <color rgb="FF000000"/>
      <name val="Verdana"/>
      <family val="2"/>
    </font>
  </fonts>
  <fills count="3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tint="0.249977111117893"/>
        <bgColor indexed="64"/>
      </patternFill>
    </fill>
    <fill>
      <patternFill patternType="solid">
        <fgColor rgb="FFF2F2F2"/>
        <bgColor rgb="FFF2F2F2"/>
      </patternFill>
    </fill>
    <fill>
      <patternFill patternType="solid">
        <fgColor rgb="FFFFFFFF"/>
        <bgColor indexed="64"/>
      </patternFill>
    </fill>
    <fill>
      <patternFill patternType="solid">
        <fgColor rgb="FFD9D9D9"/>
        <bgColor indexed="64"/>
      </patternFill>
    </fill>
    <fill>
      <patternFill patternType="solid">
        <fgColor rgb="FFF3F4F4"/>
      </patternFill>
    </fill>
    <fill>
      <patternFill patternType="solid">
        <fgColor rgb="FFD8D8D8"/>
        <bgColor indexed="64"/>
      </patternFill>
    </fill>
    <fill>
      <patternFill patternType="solid">
        <fgColor rgb="FF0070C0"/>
        <bgColor indexed="64"/>
      </patternFill>
    </fill>
    <fill>
      <patternFill patternType="solid">
        <fgColor rgb="FFF3F1FF"/>
        <bgColor indexed="64"/>
      </patternFill>
    </fill>
    <fill>
      <patternFill patternType="solid">
        <fgColor rgb="FFC00000"/>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50"/>
        <bgColor indexed="64"/>
      </patternFill>
    </fill>
    <fill>
      <patternFill patternType="solid">
        <fgColor theme="1"/>
        <bgColor rgb="FF00000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E6B8AF"/>
        <bgColor indexed="64"/>
      </patternFill>
    </fill>
    <fill>
      <patternFill patternType="solid">
        <fgColor rgb="FFD9EAD3"/>
        <bgColor indexed="64"/>
      </patternFill>
    </fill>
    <fill>
      <patternFill patternType="solid">
        <fgColor rgb="FFB7E1CD"/>
        <bgColor indexed="64"/>
      </patternFill>
    </fill>
    <fill>
      <patternFill patternType="solid">
        <fgColor rgb="FF000000"/>
        <bgColor rgb="FF000000"/>
      </patternFill>
    </fill>
    <fill>
      <patternFill patternType="solid">
        <fgColor rgb="FFC9DAF8"/>
        <bgColor indexed="64"/>
      </patternFill>
    </fill>
    <fill>
      <patternFill patternType="solid">
        <fgColor rgb="FFD9D2E9"/>
        <bgColor indexed="64"/>
      </patternFill>
    </fill>
    <fill>
      <patternFill patternType="solid">
        <fgColor theme="4"/>
        <b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theme="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FFFFFF"/>
      </patternFill>
    </fill>
  </fills>
  <borders count="6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medium">
        <color rgb="FFCCCCCC"/>
      </left>
      <right style="medium">
        <color rgb="FFCCCCCC"/>
      </right>
      <top style="medium">
        <color rgb="FFCCCCCC"/>
      </top>
      <bottom style="medium">
        <color rgb="FFCCCCC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231F20"/>
      </left>
      <right style="thin">
        <color rgb="FF231F20"/>
      </right>
      <top style="thin">
        <color rgb="FF231F20"/>
      </top>
      <bottom style="thin">
        <color rgb="FF231F2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style="medium">
        <color rgb="FFCCCCCC"/>
      </left>
      <right style="medium">
        <color rgb="FFCCCCCC"/>
      </right>
      <top/>
      <bottom style="medium">
        <color rgb="FFCCCCCC"/>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top style="thin">
        <color rgb="FF000000"/>
      </top>
      <bottom style="thin">
        <color rgb="FF000000"/>
      </bottom>
      <diagonal/>
    </border>
  </borders>
  <cellStyleXfs count="18">
    <xf numFmtId="0" fontId="0" fillId="0" borderId="0" applyNumberFormat="0" applyFill="0" applyBorder="0" applyProtection="0">
      <alignment vertical="top" wrapText="1"/>
    </xf>
    <xf numFmtId="0" fontId="15" fillId="0" borderId="0"/>
    <xf numFmtId="0" fontId="20" fillId="0" borderId="0" applyNumberFormat="0" applyFill="0" applyBorder="0" applyAlignment="0" applyProtection="0">
      <alignment vertical="top" wrapText="1"/>
    </xf>
    <xf numFmtId="0" fontId="21" fillId="0" borderId="0" applyNumberFormat="0" applyFill="0" applyBorder="0" applyAlignment="0" applyProtection="0">
      <alignment vertical="top" wrapText="1"/>
    </xf>
    <xf numFmtId="0" fontId="20" fillId="0" borderId="0" applyNumberFormat="0" applyFill="0" applyBorder="0" applyAlignment="0" applyProtection="0">
      <alignment vertical="top" wrapText="1"/>
    </xf>
    <xf numFmtId="0" fontId="21" fillId="0" borderId="0" applyNumberFormat="0" applyFill="0" applyBorder="0" applyAlignment="0" applyProtection="0">
      <alignment vertical="top" wrapText="1"/>
    </xf>
    <xf numFmtId="0" fontId="20" fillId="0" borderId="0" applyNumberFormat="0" applyFill="0" applyBorder="0" applyAlignment="0" applyProtection="0">
      <alignment vertical="top" wrapText="1"/>
    </xf>
    <xf numFmtId="0" fontId="21" fillId="0" borderId="0" applyNumberFormat="0" applyFill="0" applyBorder="0" applyAlignment="0" applyProtection="0">
      <alignment vertical="top" wrapText="1"/>
    </xf>
    <xf numFmtId="0" fontId="25" fillId="0" borderId="0"/>
    <xf numFmtId="9" fontId="25" fillId="0" borderId="0" applyFont="0" applyFill="0" applyBorder="0" applyAlignment="0" applyProtection="0"/>
    <xf numFmtId="0" fontId="26" fillId="0" borderId="0"/>
    <xf numFmtId="0" fontId="24" fillId="0" borderId="0"/>
    <xf numFmtId="9" fontId="24" fillId="0" borderId="0" applyFont="0" applyFill="0" applyBorder="0" applyAlignment="0" applyProtection="0"/>
    <xf numFmtId="0" fontId="32" fillId="0" borderId="0"/>
    <xf numFmtId="0" fontId="15" fillId="0" borderId="0"/>
    <xf numFmtId="0" fontId="16" fillId="0" borderId="0" applyNumberFormat="0" applyFill="0" applyBorder="0" applyProtection="0">
      <alignment vertical="top" wrapText="1"/>
    </xf>
    <xf numFmtId="0" fontId="47" fillId="0" borderId="0"/>
    <xf numFmtId="0" fontId="20" fillId="0" borderId="0" applyNumberFormat="0" applyFill="0" applyBorder="0" applyAlignment="0" applyProtection="0">
      <alignment vertical="top" wrapText="1"/>
    </xf>
  </cellStyleXfs>
  <cellXfs count="382">
    <xf numFmtId="0" fontId="0" fillId="0" borderId="0" xfId="0">
      <alignment vertical="top" wrapText="1"/>
    </xf>
    <xf numFmtId="0" fontId="0" fillId="0" borderId="0" xfId="0" applyAlignment="1">
      <alignment horizontal="left" vertical="center" wrapText="1"/>
    </xf>
    <xf numFmtId="0" fontId="7" fillId="0" borderId="0" xfId="0" applyFont="1">
      <alignment vertical="top" wrapText="1"/>
    </xf>
    <xf numFmtId="0" fontId="1" fillId="0" borderId="0" xfId="0" applyNumberFormat="1" applyFont="1" applyAlignment="1"/>
    <xf numFmtId="0" fontId="1" fillId="0" borderId="0" xfId="0" applyNumberFormat="1" applyFont="1" applyAlignment="1">
      <alignment horizontal="left" vertical="center"/>
    </xf>
    <xf numFmtId="0" fontId="1" fillId="0" borderId="0" xfId="0" applyNumberFormat="1" applyFont="1" applyAlignment="1">
      <alignment wrapText="1"/>
    </xf>
    <xf numFmtId="0" fontId="8" fillId="0" borderId="0" xfId="0" applyNumberFormat="1" applyFont="1" applyBorder="1" applyAlignment="1">
      <alignment wrapText="1"/>
    </xf>
    <xf numFmtId="0" fontId="2" fillId="4" borderId="3" xfId="0" applyNumberFormat="1" applyFont="1" applyFill="1" applyBorder="1" applyAlignment="1">
      <alignment vertical="center" wrapText="1"/>
    </xf>
    <xf numFmtId="0" fontId="3" fillId="3" borderId="3" xfId="0" applyNumberFormat="1" applyFont="1" applyFill="1" applyBorder="1" applyAlignment="1">
      <alignment horizontal="center" vertical="center" wrapText="1"/>
    </xf>
    <xf numFmtId="1" fontId="3" fillId="3" borderId="3" xfId="0" applyNumberFormat="1" applyFont="1" applyFill="1" applyBorder="1" applyAlignment="1">
      <alignment vertical="center" wrapText="1"/>
    </xf>
    <xf numFmtId="0" fontId="1" fillId="4" borderId="3" xfId="0" applyFont="1" applyFill="1"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6" fillId="0" borderId="0" xfId="0" applyFont="1" applyAlignment="1">
      <alignment horizontal="center" vertical="center" wrapText="1"/>
    </xf>
    <xf numFmtId="0" fontId="17" fillId="0" borderId="3" xfId="0" applyFont="1" applyBorder="1" applyAlignment="1">
      <alignment horizontal="left" vertical="center" wrapText="1"/>
    </xf>
    <xf numFmtId="0" fontId="3" fillId="0" borderId="3" xfId="0" applyNumberFormat="1" applyFont="1" applyFill="1" applyBorder="1" applyAlignment="1">
      <alignment vertical="center" wrapText="1"/>
    </xf>
    <xf numFmtId="0" fontId="1" fillId="3" borderId="3" xfId="0" applyNumberFormat="1" applyFont="1" applyFill="1" applyBorder="1" applyAlignment="1">
      <alignment horizontal="center" vertical="center" wrapText="1"/>
    </xf>
    <xf numFmtId="0" fontId="1" fillId="0" borderId="0" xfId="0" applyNumberFormat="1" applyFont="1" applyAlignment="1">
      <alignment horizontal="center" vertical="center"/>
    </xf>
    <xf numFmtId="0" fontId="4" fillId="2" borderId="3" xfId="0" applyNumberFormat="1" applyFont="1" applyFill="1" applyBorder="1" applyAlignment="1">
      <alignment horizontal="center" vertical="center" wrapText="1"/>
    </xf>
    <xf numFmtId="1" fontId="4" fillId="2" borderId="3"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1" fontId="8" fillId="3" borderId="3" xfId="0" applyNumberFormat="1" applyFont="1" applyFill="1" applyBorder="1" applyAlignment="1">
      <alignment vertical="center" wrapText="1"/>
    </xf>
    <xf numFmtId="0" fontId="3" fillId="4" borderId="3" xfId="0" applyNumberFormat="1" applyFont="1" applyFill="1" applyBorder="1" applyAlignment="1">
      <alignment vertical="center" wrapText="1"/>
    </xf>
    <xf numFmtId="1" fontId="3" fillId="3" borderId="3" xfId="0" applyNumberFormat="1" applyFont="1" applyFill="1" applyBorder="1" applyAlignment="1">
      <alignment horizontal="left" vertical="center" wrapText="1"/>
    </xf>
    <xf numFmtId="1" fontId="1" fillId="3" borderId="3" xfId="0" applyNumberFormat="1" applyFont="1" applyFill="1" applyBorder="1" applyAlignment="1">
      <alignment vertical="center" wrapText="1"/>
    </xf>
    <xf numFmtId="0" fontId="3" fillId="3" borderId="3" xfId="0" applyNumberFormat="1" applyFont="1" applyFill="1" applyBorder="1" applyAlignment="1">
      <alignment vertical="center" wrapText="1"/>
    </xf>
    <xf numFmtId="0" fontId="18" fillId="0" borderId="0" xfId="0" applyNumberFormat="1" applyFont="1" applyAlignment="1"/>
    <xf numFmtId="0" fontId="19" fillId="0" borderId="0" xfId="0" applyFont="1">
      <alignment vertical="top" wrapText="1"/>
    </xf>
    <xf numFmtId="49" fontId="1" fillId="0" borderId="0" xfId="0" applyNumberFormat="1" applyFont="1" applyAlignment="1"/>
    <xf numFmtId="0" fontId="3" fillId="0" borderId="3"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0" fontId="3" fillId="5" borderId="3" xfId="0" applyNumberFormat="1" applyFont="1" applyFill="1" applyBorder="1" applyAlignment="1">
      <alignment vertical="center" wrapText="1"/>
    </xf>
    <xf numFmtId="0" fontId="25" fillId="0" borderId="0" xfId="8" applyAlignment="1">
      <alignment vertical="top" wrapText="1"/>
    </xf>
    <xf numFmtId="0" fontId="24" fillId="0" borderId="0" xfId="8" applyFont="1" applyAlignment="1">
      <alignment vertical="top" wrapText="1"/>
    </xf>
    <xf numFmtId="49" fontId="27" fillId="0" borderId="9" xfId="10" applyNumberFormat="1" applyFont="1" applyBorder="1" applyAlignment="1">
      <alignment horizontal="center" vertical="center"/>
    </xf>
    <xf numFmtId="0" fontId="27" fillId="0" borderId="9" xfId="10" applyFont="1" applyBorder="1" applyAlignment="1">
      <alignment horizontal="left" vertical="center" wrapText="1"/>
    </xf>
    <xf numFmtId="0" fontId="24" fillId="0" borderId="0" xfId="8" applyFont="1" applyAlignment="1">
      <alignment vertical="top"/>
    </xf>
    <xf numFmtId="0" fontId="25" fillId="0" borderId="0" xfId="8" applyAlignment="1">
      <alignment vertical="top"/>
    </xf>
    <xf numFmtId="0" fontId="25" fillId="0" borderId="0" xfId="8"/>
    <xf numFmtId="0" fontId="28" fillId="11" borderId="10" xfId="8" applyFont="1" applyFill="1" applyBorder="1" applyAlignment="1">
      <alignment horizontal="center" vertical="top" wrapText="1"/>
    </xf>
    <xf numFmtId="0" fontId="28" fillId="11" borderId="0" xfId="8" applyFont="1" applyFill="1" applyAlignment="1">
      <alignment horizontal="center" vertical="top" wrapText="1"/>
    </xf>
    <xf numFmtId="0" fontId="31" fillId="0" borderId="0" xfId="8" applyFont="1" applyAlignment="1">
      <alignment vertical="top" wrapText="1"/>
    </xf>
    <xf numFmtId="0" fontId="31" fillId="0" borderId="0" xfId="8" applyFont="1" applyAlignment="1">
      <alignment vertical="top"/>
    </xf>
    <xf numFmtId="49" fontId="31" fillId="0" borderId="5" xfId="8" applyNumberFormat="1" applyFont="1" applyBorder="1" applyAlignment="1">
      <alignment horizontal="center" vertical="center" wrapText="1"/>
    </xf>
    <xf numFmtId="0" fontId="28" fillId="11" borderId="0" xfId="8" applyFont="1" applyFill="1" applyAlignment="1">
      <alignment horizontal="left" vertical="top"/>
    </xf>
    <xf numFmtId="0" fontId="28" fillId="11" borderId="10" xfId="8" applyFont="1" applyFill="1" applyBorder="1" applyAlignment="1">
      <alignment horizontal="left" vertical="top"/>
    </xf>
    <xf numFmtId="0" fontId="29" fillId="11" borderId="10" xfId="8" applyFont="1" applyFill="1" applyBorder="1" applyAlignment="1">
      <alignment horizontal="left" vertical="top"/>
    </xf>
    <xf numFmtId="0" fontId="34" fillId="10" borderId="0" xfId="0" applyFont="1" applyFill="1" applyBorder="1" applyAlignment="1"/>
    <xf numFmtId="0" fontId="35" fillId="0" borderId="0" xfId="0" applyFont="1" applyFill="1" applyBorder="1" applyAlignment="1">
      <alignment vertical="top"/>
    </xf>
    <xf numFmtId="0" fontId="36" fillId="0" borderId="0" xfId="0" applyFont="1">
      <alignment vertical="top" wrapText="1"/>
    </xf>
    <xf numFmtId="0" fontId="23" fillId="0" borderId="8" xfId="0" applyFont="1" applyBorder="1" applyAlignment="1">
      <alignment wrapText="1"/>
    </xf>
    <xf numFmtId="0" fontId="23" fillId="9" borderId="8" xfId="0" applyFont="1" applyFill="1" applyBorder="1" applyAlignment="1">
      <alignment wrapText="1"/>
    </xf>
    <xf numFmtId="0" fontId="16" fillId="0" borderId="0" xfId="0" applyNumberFormat="1" applyFont="1">
      <alignment vertical="top" wrapText="1"/>
    </xf>
    <xf numFmtId="0" fontId="23" fillId="0" borderId="0" xfId="0" applyNumberFormat="1" applyFont="1">
      <alignment vertical="top" wrapText="1"/>
    </xf>
    <xf numFmtId="0" fontId="39" fillId="0" borderId="0" xfId="0" applyNumberFormat="1" applyFont="1">
      <alignment vertical="top" wrapText="1"/>
    </xf>
    <xf numFmtId="0" fontId="23" fillId="0" borderId="11" xfId="0" applyNumberFormat="1" applyFont="1" applyBorder="1" applyAlignment="1">
      <alignment horizontal="center" vertical="center" wrapText="1"/>
    </xf>
    <xf numFmtId="0" fontId="23" fillId="0" borderId="12" xfId="0" applyNumberFormat="1" applyFont="1" applyBorder="1" applyAlignment="1">
      <alignment horizontal="center" vertical="center" wrapText="1"/>
    </xf>
    <xf numFmtId="49" fontId="31" fillId="0" borderId="0" xfId="8" applyNumberFormat="1" applyFont="1" applyAlignment="1">
      <alignment horizontal="left" vertical="top" wrapText="1"/>
    </xf>
    <xf numFmtId="0" fontId="3" fillId="9" borderId="3" xfId="0" applyFont="1" applyFill="1" applyBorder="1" applyAlignment="1">
      <alignment vertical="center" wrapText="1"/>
    </xf>
    <xf numFmtId="0" fontId="13" fillId="9" borderId="3" xfId="0" applyFont="1" applyFill="1" applyBorder="1" applyAlignment="1">
      <alignment vertical="center" wrapText="1"/>
    </xf>
    <xf numFmtId="0" fontId="7" fillId="0" borderId="0" xfId="0" applyFont="1" applyAlignment="1">
      <alignment horizontal="center" vertical="center" wrapText="1"/>
    </xf>
    <xf numFmtId="0" fontId="16" fillId="0" borderId="0" xfId="0" applyFont="1" applyAlignment="1">
      <alignment vertical="center" wrapText="1"/>
    </xf>
    <xf numFmtId="0" fontId="16" fillId="0" borderId="0" xfId="0" applyFont="1">
      <alignment vertical="top" wrapText="1"/>
    </xf>
    <xf numFmtId="0" fontId="7" fillId="0" borderId="0" xfId="0" applyFont="1" applyAlignment="1">
      <alignment horizontal="left" vertical="center" wrapText="1"/>
    </xf>
    <xf numFmtId="0" fontId="16" fillId="0" borderId="3" xfId="0" applyFont="1" applyBorder="1">
      <alignment vertical="top" wrapText="1"/>
    </xf>
    <xf numFmtId="0" fontId="1" fillId="0" borderId="3" xfId="0" applyFont="1" applyBorder="1">
      <alignment vertical="top" wrapText="1"/>
    </xf>
    <xf numFmtId="165" fontId="1" fillId="0" borderId="3" xfId="0" applyNumberFormat="1" applyFont="1" applyBorder="1">
      <alignment vertical="top" wrapText="1"/>
    </xf>
    <xf numFmtId="165" fontId="16" fillId="0" borderId="3" xfId="0" applyNumberFormat="1" applyFont="1" applyBorder="1">
      <alignment vertical="top" wrapText="1"/>
    </xf>
    <xf numFmtId="0" fontId="41" fillId="0" borderId="0" xfId="0" applyFont="1" applyAlignment="1">
      <alignment vertical="center" wrapText="1"/>
    </xf>
    <xf numFmtId="0" fontId="33" fillId="0" borderId="3" xfId="0" applyFont="1" applyBorder="1" applyAlignment="1">
      <alignment vertical="center" wrapText="1"/>
    </xf>
    <xf numFmtId="0" fontId="1" fillId="0" borderId="3" xfId="0" applyNumberFormat="1" applyFont="1" applyBorder="1" applyAlignment="1"/>
    <xf numFmtId="0" fontId="11"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 fontId="3" fillId="3" borderId="3" xfId="0" applyNumberFormat="1" applyFont="1" applyFill="1" applyBorder="1" applyAlignment="1">
      <alignment horizontal="center" vertical="center" wrapText="1"/>
    </xf>
    <xf numFmtId="0" fontId="11" fillId="13" borderId="2" xfId="0" applyNumberFormat="1" applyFont="1" applyFill="1" applyBorder="1" applyAlignment="1">
      <alignment horizontal="center" vertical="center" wrapText="1"/>
    </xf>
    <xf numFmtId="0" fontId="4" fillId="4" borderId="3" xfId="0" applyNumberFormat="1" applyFont="1" applyFill="1" applyBorder="1" applyAlignment="1">
      <alignment horizontal="left" vertical="center" wrapText="1"/>
    </xf>
    <xf numFmtId="0" fontId="4" fillId="4" borderId="3" xfId="0" applyNumberFormat="1" applyFont="1" applyFill="1" applyBorder="1" applyAlignment="1">
      <alignment horizontal="center" vertical="center" wrapText="1"/>
    </xf>
    <xf numFmtId="0" fontId="18" fillId="4" borderId="0" xfId="0" applyNumberFormat="1" applyFont="1" applyFill="1" applyAlignment="1"/>
    <xf numFmtId="0" fontId="19" fillId="4" borderId="0" xfId="0" applyFont="1" applyFill="1">
      <alignment vertical="top" wrapText="1"/>
    </xf>
    <xf numFmtId="0" fontId="24" fillId="0" borderId="3" xfId="0" applyFont="1" applyBorder="1">
      <alignment vertical="top" wrapText="1"/>
    </xf>
    <xf numFmtId="0" fontId="33" fillId="0" borderId="19" xfId="0" applyFont="1" applyBorder="1" applyAlignment="1">
      <alignment vertical="center" wrapText="1"/>
    </xf>
    <xf numFmtId="0" fontId="33" fillId="0" borderId="20" xfId="0" applyFont="1" applyBorder="1" applyAlignment="1">
      <alignment vertical="center" wrapText="1"/>
    </xf>
    <xf numFmtId="0" fontId="23" fillId="0" borderId="20" xfId="0" applyFont="1" applyBorder="1" applyAlignment="1">
      <alignment vertical="center" wrapText="1"/>
    </xf>
    <xf numFmtId="0" fontId="33" fillId="0" borderId="21" xfId="0" applyFont="1" applyBorder="1" applyAlignment="1">
      <alignment vertical="center" wrapText="1"/>
    </xf>
    <xf numFmtId="0" fontId="1" fillId="0" borderId="3" xfId="0" applyFont="1" applyFill="1" applyBorder="1" applyAlignment="1">
      <alignment vertical="center" wrapText="1"/>
    </xf>
    <xf numFmtId="0" fontId="15" fillId="0" borderId="0" xfId="14"/>
    <xf numFmtId="0" fontId="1" fillId="3" borderId="3" xfId="0" applyNumberFormat="1" applyFont="1" applyFill="1" applyBorder="1" applyAlignment="1">
      <alignment vertical="center" wrapText="1"/>
    </xf>
    <xf numFmtId="0" fontId="11" fillId="15" borderId="3" xfId="0" applyNumberFormat="1" applyFont="1" applyFill="1" applyBorder="1" applyAlignment="1">
      <alignment horizontal="center" vertical="center" wrapText="1"/>
    </xf>
    <xf numFmtId="0" fontId="11" fillId="18" borderId="2" xfId="0" applyNumberFormat="1" applyFont="1" applyFill="1" applyBorder="1" applyAlignment="1">
      <alignment horizontal="center" vertical="center" wrapText="1"/>
    </xf>
    <xf numFmtId="0" fontId="22" fillId="0" borderId="3" xfId="0" applyFont="1" applyBorder="1" applyAlignment="1">
      <alignment horizontal="left" vertical="center" wrapText="1"/>
    </xf>
    <xf numFmtId="0" fontId="0" fillId="0" borderId="3" xfId="0" applyBorder="1">
      <alignment vertical="top" wrapText="1"/>
    </xf>
    <xf numFmtId="14" fontId="0" fillId="0" borderId="3" xfId="0" applyNumberFormat="1" applyBorder="1" applyAlignment="1">
      <alignment horizontal="left" vertical="top" wrapText="1"/>
    </xf>
    <xf numFmtId="0" fontId="0" fillId="0" borderId="0" xfId="0" applyAlignment="1">
      <alignment horizontal="left" vertical="top" wrapText="1"/>
    </xf>
    <xf numFmtId="0" fontId="1" fillId="0" borderId="16" xfId="0" applyFont="1" applyBorder="1">
      <alignment vertical="top" wrapText="1"/>
    </xf>
    <xf numFmtId="0" fontId="15" fillId="0" borderId="0" xfId="1"/>
    <xf numFmtId="0" fontId="23" fillId="9" borderId="0" xfId="0" applyFont="1" applyFill="1" applyBorder="1" applyAlignment="1">
      <alignment wrapText="1"/>
    </xf>
    <xf numFmtId="0" fontId="23" fillId="0" borderId="0" xfId="0" applyFont="1" applyBorder="1" applyAlignment="1">
      <alignment wrapText="1"/>
    </xf>
    <xf numFmtId="0" fontId="16" fillId="0" borderId="0" xfId="0" applyFont="1" applyAlignment="1">
      <alignment horizontal="left" vertical="top" wrapText="1"/>
    </xf>
    <xf numFmtId="0" fontId="23" fillId="0" borderId="0" xfId="0" applyFont="1" applyBorder="1" applyAlignment="1"/>
    <xf numFmtId="0" fontId="23" fillId="0" borderId="7" xfId="0" applyFont="1" applyBorder="1" applyAlignment="1"/>
    <xf numFmtId="0" fontId="38" fillId="6" borderId="3" xfId="0" applyNumberFormat="1" applyFont="1" applyFill="1" applyBorder="1" applyAlignment="1">
      <alignment horizontal="center" vertical="center" wrapText="1"/>
    </xf>
    <xf numFmtId="0" fontId="3" fillId="5" borderId="3" xfId="0" applyNumberFormat="1" applyFont="1" applyFill="1" applyBorder="1" applyAlignment="1">
      <alignment horizontal="left" vertical="center" wrapText="1"/>
    </xf>
    <xf numFmtId="0" fontId="43" fillId="4" borderId="3" xfId="0" applyNumberFormat="1" applyFont="1" applyFill="1" applyBorder="1" applyAlignment="1">
      <alignment horizontal="center" vertical="center" wrapText="1"/>
    </xf>
    <xf numFmtId="0" fontId="43" fillId="2" borderId="0" xfId="0" applyFont="1" applyFill="1">
      <alignment vertical="top" wrapText="1"/>
    </xf>
    <xf numFmtId="0" fontId="0" fillId="0" borderId="3" xfId="0" applyBorder="1" applyAlignment="1">
      <alignment horizontal="left" vertical="top" wrapText="1"/>
    </xf>
    <xf numFmtId="0" fontId="1" fillId="0" borderId="19" xfId="0" applyFont="1" applyBorder="1" applyAlignment="1">
      <alignment horizontal="left" vertical="center" wrapText="1"/>
    </xf>
    <xf numFmtId="0" fontId="33" fillId="4" borderId="35" xfId="0" applyFont="1" applyFill="1" applyBorder="1" applyAlignment="1">
      <alignment horizontal="center" vertical="center" wrapText="1"/>
    </xf>
    <xf numFmtId="0" fontId="33" fillId="4" borderId="36" xfId="0" applyFont="1" applyFill="1" applyBorder="1" applyAlignment="1">
      <alignment horizontal="center" vertical="center" wrapText="1"/>
    </xf>
    <xf numFmtId="9" fontId="33" fillId="4" borderId="28" xfId="0" applyNumberFormat="1" applyFont="1" applyFill="1" applyBorder="1" applyAlignment="1">
      <alignment horizontal="center" vertical="center" wrapText="1"/>
    </xf>
    <xf numFmtId="0" fontId="33" fillId="4" borderId="28" xfId="0" applyFont="1" applyFill="1" applyBorder="1" applyAlignment="1">
      <alignment horizontal="center" vertical="center" wrapText="1"/>
    </xf>
    <xf numFmtId="0" fontId="23" fillId="0" borderId="38" xfId="0" applyFont="1" applyBorder="1" applyAlignment="1">
      <alignment vertical="center"/>
    </xf>
    <xf numFmtId="0" fontId="23" fillId="0" borderId="21" xfId="0" applyFont="1" applyBorder="1" applyAlignment="1">
      <alignment horizontal="center" vertical="center" wrapText="1"/>
    </xf>
    <xf numFmtId="9" fontId="23" fillId="0" borderId="39" xfId="0" applyNumberFormat="1" applyFont="1" applyBorder="1" applyAlignment="1">
      <alignment horizontal="center" vertical="center" wrapText="1"/>
    </xf>
    <xf numFmtId="0" fontId="23" fillId="0" borderId="29" xfId="0" applyFont="1" applyBorder="1" applyAlignment="1">
      <alignment vertical="center"/>
    </xf>
    <xf numFmtId="0" fontId="23" fillId="0" borderId="3" xfId="0" applyFont="1" applyBorder="1" applyAlignment="1">
      <alignment horizontal="center" vertical="center" wrapText="1"/>
    </xf>
    <xf numFmtId="9" fontId="23" fillId="0" borderId="30" xfId="0" applyNumberFormat="1" applyFont="1" applyBorder="1" applyAlignment="1">
      <alignment horizontal="center" vertical="center" wrapText="1"/>
    </xf>
    <xf numFmtId="0" fontId="23" fillId="0" borderId="29" xfId="0" applyFont="1" applyBorder="1" applyAlignment="1">
      <alignment vertical="center" wrapText="1"/>
    </xf>
    <xf numFmtId="0" fontId="23" fillId="0" borderId="33" xfId="0" applyFont="1" applyBorder="1" applyAlignment="1">
      <alignment vertical="center" wrapText="1"/>
    </xf>
    <xf numFmtId="0" fontId="23" fillId="0" borderId="19" xfId="0" applyFont="1" applyBorder="1" applyAlignment="1">
      <alignment horizontal="center" vertical="center" wrapText="1"/>
    </xf>
    <xf numFmtId="9" fontId="23" fillId="0" borderId="34" xfId="0" applyNumberFormat="1" applyFont="1" applyBorder="1" applyAlignment="1">
      <alignment horizontal="center" vertical="center"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6" fillId="16" borderId="3" xfId="0" applyFont="1" applyFill="1" applyBorder="1">
      <alignment vertical="top" wrapText="1"/>
    </xf>
    <xf numFmtId="0" fontId="16" fillId="0" borderId="3" xfId="0" applyFont="1" applyBorder="1" applyAlignment="1">
      <alignment horizontal="left" vertical="top" wrapText="1"/>
    </xf>
    <xf numFmtId="0" fontId="11" fillId="2" borderId="3" xfId="0" applyFont="1" applyFill="1" applyBorder="1" applyAlignment="1">
      <alignment horizontal="center" vertical="center" wrapText="1"/>
    </xf>
    <xf numFmtId="0" fontId="19" fillId="2" borderId="3" xfId="0" applyFont="1" applyFill="1" applyBorder="1" applyAlignment="1">
      <alignment horizontal="left" vertical="top" wrapText="1"/>
    </xf>
    <xf numFmtId="0" fontId="16" fillId="2" borderId="3" xfId="0" applyFont="1" applyFill="1" applyBorder="1" applyAlignment="1">
      <alignment horizontal="left" vertical="top" wrapText="1"/>
    </xf>
    <xf numFmtId="0" fontId="19" fillId="2" borderId="3" xfId="0" applyFont="1" applyFill="1" applyBorder="1">
      <alignment vertical="top" wrapText="1"/>
    </xf>
    <xf numFmtId="0" fontId="11" fillId="2" borderId="3" xfId="0" applyFont="1" applyFill="1" applyBorder="1">
      <alignment vertical="top" wrapText="1"/>
    </xf>
    <xf numFmtId="0" fontId="16" fillId="0" borderId="1" xfId="0" applyFont="1" applyBorder="1" applyAlignment="1">
      <alignment horizontal="left" vertical="top" wrapText="1"/>
    </xf>
    <xf numFmtId="0" fontId="11" fillId="2" borderId="1" xfId="0" applyFont="1" applyFill="1" applyBorder="1" applyAlignment="1">
      <alignment horizontal="center" vertical="center" wrapText="1"/>
    </xf>
    <xf numFmtId="0" fontId="16" fillId="0" borderId="1" xfId="0" applyFont="1" applyBorder="1">
      <alignment vertical="top" wrapText="1"/>
    </xf>
    <xf numFmtId="0" fontId="11" fillId="2" borderId="4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33" fillId="0" borderId="15" xfId="0" applyFont="1" applyBorder="1" applyAlignment="1">
      <alignment vertical="center" wrapText="1"/>
    </xf>
    <xf numFmtId="0" fontId="33" fillId="0" borderId="0" xfId="0" applyFont="1" applyBorder="1" applyAlignment="1">
      <alignment vertical="center" wrapText="1"/>
    </xf>
    <xf numFmtId="0" fontId="23" fillId="0" borderId="0" xfId="0" applyFont="1" applyFill="1" applyBorder="1" applyAlignment="1">
      <alignment horizontal="left" vertical="center"/>
    </xf>
    <xf numFmtId="0" fontId="33" fillId="0" borderId="25" xfId="0" applyFont="1" applyFill="1" applyBorder="1" applyAlignment="1">
      <alignment vertical="center" wrapText="1"/>
    </xf>
    <xf numFmtId="0" fontId="38" fillId="32" borderId="25" xfId="0" applyFont="1" applyFill="1" applyBorder="1" applyAlignment="1">
      <alignment horizontal="center" vertical="center" wrapText="1"/>
    </xf>
    <xf numFmtId="0" fontId="7" fillId="34" borderId="25" xfId="0" applyNumberFormat="1" applyFont="1" applyFill="1" applyBorder="1" applyAlignment="1">
      <alignment horizontal="center" vertical="center" wrapText="1"/>
    </xf>
    <xf numFmtId="0" fontId="16" fillId="34" borderId="45" xfId="0" applyFont="1" applyFill="1" applyBorder="1" applyAlignment="1">
      <alignment horizontal="left" vertical="top" wrapText="1"/>
    </xf>
    <xf numFmtId="0" fontId="16" fillId="34" borderId="45" xfId="0" applyFont="1" applyFill="1" applyBorder="1">
      <alignment vertical="top" wrapText="1"/>
    </xf>
    <xf numFmtId="0" fontId="16" fillId="34" borderId="46" xfId="0" applyFont="1" applyFill="1" applyBorder="1" applyAlignment="1">
      <alignment horizontal="left" vertical="top" wrapText="1"/>
    </xf>
    <xf numFmtId="0" fontId="12" fillId="2" borderId="1" xfId="0" applyNumberFormat="1" applyFont="1" applyFill="1" applyBorder="1" applyAlignment="1">
      <alignment horizontal="center" vertical="center" wrapText="1"/>
    </xf>
    <xf numFmtId="1" fontId="14" fillId="4"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38" fillId="32" borderId="49" xfId="0" applyFont="1" applyFill="1" applyBorder="1" applyAlignment="1">
      <alignment horizontal="center" vertical="center" wrapText="1"/>
    </xf>
    <xf numFmtId="0" fontId="38" fillId="32" borderId="50" xfId="0" applyFont="1" applyFill="1" applyBorder="1" applyAlignment="1">
      <alignment horizontal="center" vertical="center" wrapText="1"/>
    </xf>
    <xf numFmtId="0" fontId="1" fillId="33" borderId="41" xfId="0" applyNumberFormat="1" applyFont="1" applyFill="1" applyBorder="1" applyAlignment="1">
      <alignment wrapText="1"/>
    </xf>
    <xf numFmtId="0" fontId="1" fillId="33" borderId="42" xfId="0" applyNumberFormat="1" applyFont="1" applyFill="1" applyBorder="1" applyAlignment="1">
      <alignment wrapText="1"/>
    </xf>
    <xf numFmtId="0" fontId="38" fillId="35" borderId="50" xfId="0" applyFont="1" applyFill="1" applyBorder="1" applyAlignment="1">
      <alignment horizontal="center" vertical="center" wrapText="1"/>
    </xf>
    <xf numFmtId="0" fontId="38" fillId="32" borderId="51" xfId="0" applyFont="1" applyFill="1" applyBorder="1" applyAlignment="1">
      <alignment horizontal="center" vertical="center" wrapText="1"/>
    </xf>
    <xf numFmtId="0" fontId="38" fillId="32" borderId="40"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26" xfId="0" applyFont="1" applyBorder="1" applyAlignment="1">
      <alignment horizontal="center" vertical="center" wrapText="1"/>
    </xf>
    <xf numFmtId="0" fontId="42" fillId="0" borderId="5" xfId="0" applyFont="1" applyBorder="1" applyAlignment="1">
      <alignment vertical="center" wrapText="1"/>
    </xf>
    <xf numFmtId="0" fontId="23" fillId="0" borderId="5" xfId="0" applyFont="1" applyBorder="1" applyAlignment="1">
      <alignment vertical="center" wrapText="1"/>
    </xf>
    <xf numFmtId="166" fontId="23" fillId="25" borderId="3" xfId="0" applyNumberFormat="1" applyFont="1" applyFill="1" applyBorder="1" applyAlignment="1">
      <alignment horizontal="left" vertical="top" wrapText="1"/>
    </xf>
    <xf numFmtId="0" fontId="23" fillId="27" borderId="3" xfId="0" applyFont="1" applyFill="1" applyBorder="1" applyAlignment="1">
      <alignment horizontal="left" vertical="top" wrapText="1"/>
    </xf>
    <xf numFmtId="1" fontId="23" fillId="30" borderId="3" xfId="0" applyNumberFormat="1" applyFont="1" applyFill="1" applyBorder="1" applyAlignment="1">
      <alignment horizontal="left" vertical="top" wrapText="1"/>
    </xf>
    <xf numFmtId="0" fontId="23" fillId="30" borderId="3" xfId="0" applyFont="1" applyFill="1" applyBorder="1" applyAlignment="1">
      <alignment horizontal="left" vertical="top" wrapText="1"/>
    </xf>
    <xf numFmtId="0" fontId="23" fillId="31" borderId="3" xfId="0" applyFont="1" applyFill="1" applyBorder="1" applyAlignment="1">
      <alignment horizontal="left" vertical="top" wrapText="1"/>
    </xf>
    <xf numFmtId="0" fontId="23" fillId="0" borderId="3" xfId="0" applyFont="1" applyBorder="1" applyAlignment="1">
      <alignment horizontal="left" vertical="top" wrapText="1"/>
    </xf>
    <xf numFmtId="0" fontId="23" fillId="20" borderId="3" xfId="0" applyFont="1" applyFill="1" applyBorder="1" applyAlignment="1">
      <alignment horizontal="left" vertical="top" wrapText="1"/>
    </xf>
    <xf numFmtId="0" fontId="33" fillId="22" borderId="3" xfId="0" applyFont="1" applyFill="1" applyBorder="1" applyAlignment="1">
      <alignment horizontal="left" vertical="top" wrapText="1"/>
    </xf>
    <xf numFmtId="0" fontId="33" fillId="21" borderId="3" xfId="0" applyFont="1" applyFill="1" applyBorder="1" applyAlignment="1">
      <alignment horizontal="left" vertical="top" wrapText="1"/>
    </xf>
    <xf numFmtId="1" fontId="23" fillId="23" borderId="3" xfId="0" applyNumberFormat="1" applyFont="1" applyFill="1" applyBorder="1" applyAlignment="1">
      <alignment horizontal="left" vertical="top" wrapText="1"/>
    </xf>
    <xf numFmtId="0" fontId="33" fillId="24" borderId="3" xfId="0" applyFont="1" applyFill="1" applyBorder="1" applyAlignment="1">
      <alignment horizontal="left" vertical="top" wrapText="1"/>
    </xf>
    <xf numFmtId="0" fontId="23" fillId="22" borderId="3" xfId="0" applyFont="1" applyFill="1" applyBorder="1" applyAlignment="1">
      <alignment horizontal="left" vertical="top" wrapText="1"/>
    </xf>
    <xf numFmtId="0" fontId="23" fillId="26" borderId="3" xfId="0" applyFont="1" applyFill="1" applyBorder="1" applyAlignment="1">
      <alignment horizontal="left" vertical="top" wrapText="1"/>
    </xf>
    <xf numFmtId="0" fontId="23" fillId="28" borderId="3" xfId="0" applyFont="1" applyFill="1" applyBorder="1" applyAlignment="1">
      <alignment horizontal="left" vertical="top" wrapText="1"/>
    </xf>
    <xf numFmtId="0" fontId="23" fillId="26" borderId="3" xfId="0" applyFont="1" applyFill="1" applyBorder="1" applyAlignment="1">
      <alignment horizontal="left" vertical="top"/>
    </xf>
    <xf numFmtId="0" fontId="23" fillId="20" borderId="3" xfId="0" applyFont="1" applyFill="1" applyBorder="1" applyAlignment="1">
      <alignment horizontal="left" vertical="top"/>
    </xf>
    <xf numFmtId="0" fontId="1" fillId="26" borderId="3" xfId="0" applyFont="1" applyFill="1" applyBorder="1" applyAlignment="1">
      <alignment horizontal="left" vertical="top" wrapText="1"/>
    </xf>
    <xf numFmtId="0" fontId="1" fillId="28" borderId="3" xfId="0" applyFont="1" applyFill="1" applyBorder="1" applyAlignment="1">
      <alignment horizontal="left" vertical="top" wrapText="1"/>
    </xf>
    <xf numFmtId="0" fontId="23" fillId="0" borderId="0" xfId="0" applyFont="1" applyFill="1">
      <alignment vertical="top" wrapText="1"/>
    </xf>
    <xf numFmtId="0" fontId="23" fillId="0" borderId="24" xfId="0" applyFont="1" applyFill="1" applyBorder="1">
      <alignment vertical="top" wrapText="1"/>
    </xf>
    <xf numFmtId="0" fontId="33" fillId="0" borderId="0" xfId="0" applyFont="1" applyFill="1" applyBorder="1">
      <alignment vertical="top" wrapText="1"/>
    </xf>
    <xf numFmtId="1" fontId="23" fillId="0" borderId="0" xfId="0" applyNumberFormat="1" applyFont="1" applyFill="1">
      <alignment vertical="top" wrapText="1"/>
    </xf>
    <xf numFmtId="0" fontId="1" fillId="0" borderId="0" xfId="0" applyFont="1">
      <alignment vertical="top" wrapText="1"/>
    </xf>
    <xf numFmtId="0" fontId="1" fillId="27" borderId="3" xfId="0" applyFont="1" applyFill="1" applyBorder="1" applyAlignment="1">
      <alignment horizontal="left" vertical="top" wrapText="1"/>
    </xf>
    <xf numFmtId="1" fontId="1" fillId="28" borderId="3" xfId="0" applyNumberFormat="1" applyFont="1" applyFill="1" applyBorder="1" applyAlignment="1">
      <alignment horizontal="left" vertical="top" wrapText="1"/>
    </xf>
    <xf numFmtId="0" fontId="1" fillId="31" borderId="3" xfId="0" applyFont="1" applyFill="1" applyBorder="1" applyAlignment="1">
      <alignment horizontal="left" vertical="top" wrapText="1"/>
    </xf>
    <xf numFmtId="1" fontId="1" fillId="0" borderId="0" xfId="0" applyNumberFormat="1" applyFont="1">
      <alignment vertical="top" wrapText="1"/>
    </xf>
    <xf numFmtId="0" fontId="33" fillId="0" borderId="3" xfId="0" applyFont="1" applyBorder="1" applyAlignment="1">
      <alignment horizontal="left" vertical="top" wrapText="1"/>
    </xf>
    <xf numFmtId="0" fontId="33" fillId="20" borderId="3" xfId="0" applyFont="1" applyFill="1" applyBorder="1" applyAlignment="1">
      <alignment horizontal="left" vertical="top" wrapText="1"/>
    </xf>
    <xf numFmtId="0" fontId="33" fillId="23" borderId="3" xfId="0" applyFont="1" applyFill="1" applyBorder="1" applyAlignment="1">
      <alignment horizontal="left" vertical="top" wrapText="1"/>
    </xf>
    <xf numFmtId="1" fontId="33" fillId="23" borderId="3" xfId="0" applyNumberFormat="1" applyFont="1" applyFill="1" applyBorder="1" applyAlignment="1">
      <alignment horizontal="left" vertical="top" wrapText="1"/>
    </xf>
    <xf numFmtId="0" fontId="33" fillId="25" borderId="3" xfId="0" applyFont="1" applyFill="1" applyBorder="1" applyAlignment="1">
      <alignment horizontal="left" vertical="top" wrapText="1"/>
    </xf>
    <xf numFmtId="0" fontId="17" fillId="0" borderId="0" xfId="0" applyFont="1">
      <alignment vertical="top" wrapText="1"/>
    </xf>
    <xf numFmtId="1" fontId="23" fillId="22" borderId="3" xfId="0" applyNumberFormat="1" applyFont="1" applyFill="1" applyBorder="1" applyAlignment="1">
      <alignment horizontal="left" vertical="top" wrapText="1"/>
    </xf>
    <xf numFmtId="0" fontId="0" fillId="0" borderId="0" xfId="0" applyFill="1">
      <alignment vertical="top" wrapText="1"/>
    </xf>
    <xf numFmtId="0" fontId="16" fillId="0" borderId="2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9"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24" fillId="37" borderId="5" xfId="0" applyFont="1" applyFill="1" applyBorder="1" applyAlignment="1">
      <alignment horizontal="center" vertical="center" wrapText="1"/>
    </xf>
    <xf numFmtId="0" fontId="14" fillId="37" borderId="30" xfId="0" applyFont="1" applyFill="1" applyBorder="1" applyAlignment="1">
      <alignment horizontal="center" vertical="center" wrapText="1"/>
    </xf>
    <xf numFmtId="0" fontId="16" fillId="37" borderId="30" xfId="0" applyFont="1" applyFill="1" applyBorder="1" applyAlignment="1">
      <alignment horizontal="center" vertical="center" wrapText="1"/>
    </xf>
    <xf numFmtId="0" fontId="16" fillId="37" borderId="3" xfId="0" applyFont="1" applyFill="1" applyBorder="1" applyAlignment="1">
      <alignment horizontal="center" vertical="center" wrapText="1"/>
    </xf>
    <xf numFmtId="0" fontId="16" fillId="9" borderId="3" xfId="0" applyFont="1" applyFill="1" applyBorder="1" applyAlignment="1">
      <alignment vertical="center" wrapText="1"/>
    </xf>
    <xf numFmtId="0" fontId="8" fillId="9" borderId="3" xfId="0" applyFont="1" applyFill="1" applyBorder="1" applyAlignment="1">
      <alignment vertical="center" wrapText="1"/>
    </xf>
    <xf numFmtId="0" fontId="1" fillId="9" borderId="3" xfId="0" applyFont="1" applyFill="1" applyBorder="1" applyAlignment="1">
      <alignment vertical="center" wrapText="1"/>
    </xf>
    <xf numFmtId="49" fontId="23" fillId="0" borderId="6" xfId="8" applyNumberFormat="1" applyFont="1" applyBorder="1" applyAlignment="1">
      <alignment horizontal="center" vertical="center" wrapText="1"/>
    </xf>
    <xf numFmtId="0" fontId="23" fillId="0" borderId="0" xfId="8" applyFont="1"/>
    <xf numFmtId="49" fontId="23" fillId="0" borderId="5" xfId="8" applyNumberFormat="1" applyFont="1" applyBorder="1" applyAlignment="1">
      <alignment horizontal="center" vertical="center" wrapText="1"/>
    </xf>
    <xf numFmtId="0" fontId="23" fillId="0" borderId="5" xfId="8" applyFont="1" applyBorder="1" applyAlignment="1">
      <alignment horizontal="center" vertical="center" wrapText="1"/>
    </xf>
    <xf numFmtId="0" fontId="23" fillId="0" borderId="0" xfId="0" applyFont="1" applyBorder="1" applyAlignment="1">
      <alignment vertical="top"/>
    </xf>
    <xf numFmtId="10" fontId="23" fillId="0" borderId="0" xfId="0" applyNumberFormat="1" applyFont="1" applyBorder="1" applyAlignment="1">
      <alignment vertical="top"/>
    </xf>
    <xf numFmtId="0" fontId="23" fillId="0" borderId="3" xfId="0" applyFont="1" applyBorder="1" applyAlignment="1"/>
    <xf numFmtId="0" fontId="36" fillId="0" borderId="0" xfId="0" pivotButton="1" applyFont="1">
      <alignment vertical="top" wrapText="1"/>
    </xf>
    <xf numFmtId="0" fontId="36" fillId="0" borderId="0" xfId="0" applyFont="1" applyAlignment="1">
      <alignment horizontal="left" vertical="top" wrapText="1"/>
    </xf>
    <xf numFmtId="165" fontId="36" fillId="0" borderId="0" xfId="0" applyNumberFormat="1" applyFont="1" applyAlignment="1">
      <alignment horizontal="left" vertical="top" wrapText="1"/>
    </xf>
    <xf numFmtId="0" fontId="23" fillId="0" borderId="3" xfId="0" applyNumberFormat="1" applyFont="1" applyBorder="1" applyAlignment="1">
      <alignment horizontal="center" vertical="center" wrapText="1"/>
    </xf>
    <xf numFmtId="0" fontId="16" fillId="12" borderId="3" xfId="0" applyNumberFormat="1" applyFont="1" applyFill="1" applyBorder="1" applyAlignment="1">
      <alignment vertical="center" wrapText="1"/>
    </xf>
    <xf numFmtId="0" fontId="40" fillId="5" borderId="3" xfId="15" applyFont="1" applyFill="1" applyBorder="1" applyAlignment="1">
      <alignment vertical="center" wrapText="1"/>
    </xf>
    <xf numFmtId="0" fontId="15" fillId="0" borderId="19" xfId="14" applyBorder="1"/>
    <xf numFmtId="0" fontId="51" fillId="0" borderId="16" xfId="0" applyFont="1" applyBorder="1" applyAlignment="1">
      <alignment horizontal="center" vertical="center" wrapText="1" readingOrder="1"/>
    </xf>
    <xf numFmtId="0" fontId="23" fillId="0" borderId="16" xfId="0" applyFont="1" applyBorder="1" applyAlignment="1">
      <alignment horizontal="left" vertical="center" wrapText="1" readingOrder="1"/>
    </xf>
    <xf numFmtId="0" fontId="0" fillId="0" borderId="16" xfId="0" applyBorder="1" applyAlignment="1">
      <alignment horizontal="left" vertical="center" wrapText="1" readingOrder="1"/>
    </xf>
    <xf numFmtId="0" fontId="1" fillId="0" borderId="16" xfId="0" applyFont="1" applyBorder="1" applyAlignment="1">
      <alignment vertical="center" wrapText="1" readingOrder="1"/>
    </xf>
    <xf numFmtId="0" fontId="20" fillId="0" borderId="16" xfId="17" applyBorder="1" applyAlignment="1">
      <alignment horizontal="left" vertical="center" wrapText="1" readingOrder="1"/>
    </xf>
    <xf numFmtId="0" fontId="0" fillId="0" borderId="16" xfId="0" applyBorder="1">
      <alignment vertical="top" wrapText="1"/>
    </xf>
    <xf numFmtId="0" fontId="20" fillId="0" borderId="16" xfId="17" applyBorder="1">
      <alignment vertical="top" wrapText="1"/>
    </xf>
    <xf numFmtId="0" fontId="0" fillId="0" borderId="16" xfId="0" applyBorder="1" applyAlignment="1">
      <alignment vertical="center" wrapText="1" readingOrder="1"/>
    </xf>
    <xf numFmtId="0" fontId="1" fillId="0" borderId="18" xfId="0" applyFont="1" applyBorder="1" applyAlignment="1">
      <alignment vertical="center" wrapText="1" readingOrder="1"/>
    </xf>
    <xf numFmtId="0" fontId="52" fillId="0" borderId="0" xfId="14" applyFont="1" applyAlignment="1">
      <alignment shrinkToFit="1"/>
    </xf>
    <xf numFmtId="0" fontId="19" fillId="0" borderId="0" xfId="0" applyFont="1" applyAlignment="1">
      <alignment horizontal="center" vertical="center" shrinkToFit="1"/>
    </xf>
    <xf numFmtId="0" fontId="18" fillId="0" borderId="0" xfId="0" applyFont="1" applyFill="1" applyBorder="1" applyAlignment="1">
      <alignment vertical="center" shrinkToFit="1"/>
    </xf>
    <xf numFmtId="0" fontId="19" fillId="0" borderId="0" xfId="0" applyFont="1" applyAlignment="1">
      <alignment vertical="top" shrinkToFit="1"/>
    </xf>
    <xf numFmtId="0" fontId="53" fillId="0" borderId="0" xfId="0" applyNumberFormat="1" applyFont="1" applyAlignment="1">
      <alignment shrinkToFit="1"/>
    </xf>
    <xf numFmtId="0" fontId="19" fillId="0" borderId="0" xfId="0" applyFont="1" applyAlignment="1" applyProtection="1">
      <alignment vertical="top" shrinkToFit="1"/>
    </xf>
    <xf numFmtId="0" fontId="11" fillId="0" borderId="0" xfId="0" applyFont="1" applyAlignment="1" applyProtection="1">
      <alignment horizontal="center" vertical="center" shrinkToFit="1"/>
    </xf>
    <xf numFmtId="0" fontId="19" fillId="0" borderId="0" xfId="0" applyFont="1" applyFill="1" applyAlignment="1">
      <alignment vertical="top" shrinkToFit="1"/>
    </xf>
    <xf numFmtId="0" fontId="19" fillId="0" borderId="0" xfId="0" applyFont="1" applyAlignment="1">
      <alignment horizontal="left" vertical="center" shrinkToFit="1"/>
    </xf>
    <xf numFmtId="0" fontId="18" fillId="0" borderId="3" xfId="0" applyFont="1" applyBorder="1" applyAlignment="1">
      <alignment horizontal="left" vertical="top" shrinkToFit="1"/>
    </xf>
    <xf numFmtId="0" fontId="18" fillId="0" borderId="0" xfId="0" applyFont="1" applyFill="1" applyAlignment="1">
      <alignment vertical="top" shrinkToFit="1"/>
    </xf>
    <xf numFmtId="0" fontId="18" fillId="0" borderId="0" xfId="0" applyFont="1" applyAlignment="1">
      <alignment vertical="top" shrinkToFit="1"/>
    </xf>
    <xf numFmtId="0" fontId="45" fillId="0" borderId="0" xfId="0" applyFont="1" applyAlignment="1">
      <alignment horizontal="center" vertical="center" wrapText="1"/>
    </xf>
    <xf numFmtId="0" fontId="15" fillId="0" borderId="0" xfId="1" applyAlignment="1">
      <alignment horizontal="left"/>
    </xf>
    <xf numFmtId="0" fontId="23" fillId="0" borderId="0" xfId="0" applyFont="1" applyAlignment="1">
      <alignment horizontal="left" vertical="top" wrapText="1"/>
    </xf>
    <xf numFmtId="0" fontId="23" fillId="0" borderId="0" xfId="0" applyFont="1" applyAlignment="1">
      <alignment horizontal="left" vertical="center" wrapText="1" readingOrder="1"/>
    </xf>
    <xf numFmtId="0" fontId="54" fillId="0" borderId="0" xfId="0" applyFont="1" applyAlignment="1">
      <alignment horizontal="left" vertical="center" wrapText="1"/>
    </xf>
    <xf numFmtId="0" fontId="54" fillId="0" borderId="0" xfId="0" applyFont="1" applyAlignment="1">
      <alignment horizontal="left" vertical="center" wrapText="1" readingOrder="1"/>
    </xf>
    <xf numFmtId="0" fontId="1" fillId="0" borderId="0" xfId="0" applyFont="1" applyAlignment="1">
      <alignment horizontal="left" vertical="center" wrapText="1" indent="2"/>
    </xf>
    <xf numFmtId="0" fontId="56" fillId="0" borderId="0" xfId="1" applyFont="1"/>
    <xf numFmtId="0" fontId="52" fillId="0" borderId="0" xfId="1" applyFont="1" applyAlignment="1">
      <alignment horizontal="left" shrinkToFit="1"/>
    </xf>
    <xf numFmtId="0" fontId="24" fillId="0" borderId="5" xfId="0" applyFont="1" applyBorder="1">
      <alignment vertical="top" wrapText="1"/>
    </xf>
    <xf numFmtId="0" fontId="23" fillId="0" borderId="5" xfId="0" applyFont="1" applyBorder="1">
      <alignment vertical="top" wrapText="1"/>
    </xf>
    <xf numFmtId="0" fontId="23" fillId="38" borderId="3" xfId="0" applyFont="1" applyFill="1" applyBorder="1" applyAlignment="1">
      <alignment horizontal="left" vertical="center" wrapText="1"/>
    </xf>
    <xf numFmtId="0" fontId="23" fillId="38" borderId="5" xfId="0" applyFont="1" applyFill="1" applyBorder="1" applyAlignment="1">
      <alignment horizontal="left" vertical="center" wrapText="1"/>
    </xf>
    <xf numFmtId="0" fontId="23" fillId="38" borderId="5" xfId="0" applyFont="1" applyFill="1" applyBorder="1" applyAlignment="1">
      <alignment vertical="center" wrapText="1"/>
    </xf>
    <xf numFmtId="0" fontId="4" fillId="2" borderId="3" xfId="0" applyNumberFormat="1"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1" fillId="0" borderId="3" xfId="0" applyFont="1" applyBorder="1" applyAlignment="1">
      <alignment vertical="center" wrapText="1"/>
    </xf>
    <xf numFmtId="0" fontId="7" fillId="0" borderId="3" xfId="0" applyFont="1" applyBorder="1" applyAlignment="1">
      <alignment horizontal="left" vertical="center" wrapText="1"/>
    </xf>
    <xf numFmtId="0" fontId="23" fillId="21" borderId="3" xfId="0" applyFont="1" applyFill="1" applyBorder="1" applyAlignment="1">
      <alignment horizontal="left" vertical="top" wrapText="1"/>
    </xf>
    <xf numFmtId="0" fontId="23" fillId="23" borderId="3" xfId="0" applyFont="1" applyFill="1" applyBorder="1" applyAlignment="1">
      <alignment horizontal="left" vertical="top" wrapText="1"/>
    </xf>
    <xf numFmtId="0" fontId="23" fillId="24" borderId="3" xfId="0" applyFont="1" applyFill="1" applyBorder="1" applyAlignment="1">
      <alignment horizontal="left" vertical="top" wrapText="1"/>
    </xf>
    <xf numFmtId="0" fontId="46" fillId="15" borderId="1" xfId="0" applyFont="1" applyFill="1" applyBorder="1" applyAlignment="1">
      <alignment horizontal="center" vertical="center" wrapText="1"/>
    </xf>
    <xf numFmtId="0" fontId="46" fillId="15" borderId="2"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vertical="center"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40" fillId="5"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23" fillId="0" borderId="3" xfId="0" applyFont="1" applyBorder="1" applyAlignment="1">
      <alignment horizontal="left" vertical="center" wrapText="1"/>
    </xf>
    <xf numFmtId="0" fontId="6" fillId="6" borderId="1" xfId="0" applyFont="1" applyFill="1" applyBorder="1" applyAlignment="1">
      <alignment horizontal="left" vertical="center" wrapText="1"/>
    </xf>
    <xf numFmtId="0" fontId="6" fillId="6" borderId="2" xfId="0" applyFont="1" applyFill="1" applyBorder="1" applyAlignment="1">
      <alignment horizontal="left" vertical="center" wrapText="1"/>
    </xf>
    <xf numFmtId="0" fontId="10" fillId="4" borderId="3" xfId="0" applyNumberFormat="1" applyFont="1" applyFill="1" applyBorder="1" applyAlignment="1">
      <alignment horizontal="left" vertical="center" wrapText="1"/>
    </xf>
    <xf numFmtId="0" fontId="6" fillId="15" borderId="3" xfId="0" applyNumberFormat="1" applyFont="1" applyFill="1" applyBorder="1" applyAlignment="1">
      <alignment horizontal="left" vertical="center" wrapText="1"/>
    </xf>
    <xf numFmtId="0" fontId="49" fillId="4" borderId="3" xfId="0" applyNumberFormat="1" applyFont="1" applyFill="1" applyBorder="1" applyAlignment="1">
      <alignment horizontal="left" vertical="center" wrapText="1"/>
    </xf>
    <xf numFmtId="0" fontId="4" fillId="2" borderId="3" xfId="0" applyNumberFormat="1" applyFont="1" applyFill="1" applyBorder="1" applyAlignment="1">
      <alignment horizontal="left" vertical="center" wrapText="1"/>
    </xf>
    <xf numFmtId="0" fontId="13" fillId="5" borderId="3" xfId="0" applyNumberFormat="1" applyFont="1" applyFill="1" applyBorder="1" applyAlignment="1">
      <alignment horizontal="left" vertical="center" wrapText="1"/>
    </xf>
    <xf numFmtId="164" fontId="5" fillId="3" borderId="3" xfId="0" applyNumberFormat="1" applyFont="1" applyFill="1" applyBorder="1" applyAlignment="1">
      <alignment horizontal="left" vertical="center" wrapText="1"/>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2" xfId="0" applyFont="1" applyBorder="1" applyAlignment="1">
      <alignment horizontal="left" vertical="center" wrapText="1"/>
    </xf>
    <xf numFmtId="0" fontId="34" fillId="0" borderId="62" xfId="0" applyFont="1" applyBorder="1" applyAlignment="1">
      <alignment horizontal="left" vertical="center" wrapText="1"/>
    </xf>
    <xf numFmtId="0" fontId="34" fillId="0" borderId="63" xfId="0" applyFont="1" applyBorder="1" applyAlignment="1">
      <alignment horizontal="left" vertical="center" wrapText="1"/>
    </xf>
    <xf numFmtId="0" fontId="34" fillId="0" borderId="59" xfId="0" applyFont="1" applyBorder="1" applyAlignment="1">
      <alignment horizontal="left" vertical="center" wrapText="1"/>
    </xf>
    <xf numFmtId="0" fontId="34" fillId="0" borderId="60" xfId="0" applyFont="1" applyBorder="1" applyAlignment="1">
      <alignment horizontal="left" vertical="center" wrapText="1"/>
    </xf>
    <xf numFmtId="0" fontId="34" fillId="0" borderId="61" xfId="0" applyFont="1" applyBorder="1" applyAlignment="1">
      <alignment horizontal="left" vertical="center" wrapText="1"/>
    </xf>
    <xf numFmtId="0" fontId="20" fillId="0" borderId="59" xfId="17" applyBorder="1" applyAlignment="1">
      <alignment horizontal="left" vertical="center" wrapText="1"/>
    </xf>
    <xf numFmtId="0" fontId="20" fillId="0" borderId="60" xfId="17" applyBorder="1" applyAlignment="1">
      <alignment horizontal="left" vertical="center" wrapText="1"/>
    </xf>
    <xf numFmtId="0" fontId="20" fillId="0" borderId="61" xfId="17" applyBorder="1" applyAlignment="1">
      <alignment horizontal="left" vertical="center" wrapText="1"/>
    </xf>
    <xf numFmtId="0" fontId="19" fillId="7" borderId="3"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20" fillId="0" borderId="1" xfId="17" applyBorder="1" applyAlignment="1">
      <alignment horizontal="left" vertical="center" wrapText="1"/>
    </xf>
    <xf numFmtId="0" fontId="20" fillId="0" borderId="4" xfId="17" applyBorder="1" applyAlignment="1">
      <alignment horizontal="left" vertical="center" wrapText="1"/>
    </xf>
    <xf numFmtId="0" fontId="20" fillId="0" borderId="2" xfId="17" applyBorder="1" applyAlignment="1">
      <alignment horizontal="left" vertical="center" wrapText="1"/>
    </xf>
    <xf numFmtId="0" fontId="34" fillId="0" borderId="64" xfId="0" applyFont="1" applyBorder="1" applyAlignment="1">
      <alignment horizontal="left" vertical="center" wrapText="1"/>
    </xf>
    <xf numFmtId="0" fontId="34" fillId="0" borderId="58" xfId="0" applyFont="1" applyBorder="1" applyAlignment="1">
      <alignment horizontal="left" vertical="center" wrapText="1"/>
    </xf>
    <xf numFmtId="0" fontId="13" fillId="5" borderId="1" xfId="0" applyNumberFormat="1" applyFont="1" applyFill="1" applyBorder="1" applyAlignment="1">
      <alignment horizontal="left" vertical="center" wrapText="1"/>
    </xf>
    <xf numFmtId="0" fontId="13" fillId="5" borderId="4" xfId="0" applyNumberFormat="1" applyFont="1" applyFill="1" applyBorder="1" applyAlignment="1">
      <alignment horizontal="left" vertical="center" wrapText="1"/>
    </xf>
    <xf numFmtId="0" fontId="13" fillId="5" borderId="57" xfId="0" applyNumberFormat="1" applyFont="1" applyFill="1" applyBorder="1" applyAlignment="1">
      <alignment horizontal="left" vertical="center" wrapText="1"/>
    </xf>
    <xf numFmtId="0" fontId="38" fillId="29" borderId="23" xfId="0" applyFont="1" applyFill="1" applyBorder="1" applyAlignment="1">
      <alignment horizontal="left" vertical="center" wrapText="1"/>
    </xf>
    <xf numFmtId="0" fontId="43" fillId="0" borderId="6" xfId="0" applyFont="1" applyBorder="1" applyAlignment="1">
      <alignment vertical="top" wrapText="1"/>
    </xf>
    <xf numFmtId="0" fontId="23" fillId="9" borderId="1" xfId="0" applyFont="1" applyFill="1" applyBorder="1" applyAlignment="1">
      <alignment vertical="center" wrapText="1"/>
    </xf>
    <xf numFmtId="0" fontId="23" fillId="9" borderId="2" xfId="0" applyFont="1" applyFill="1" applyBorder="1" applyAlignment="1">
      <alignment vertical="center" wrapText="1"/>
    </xf>
    <xf numFmtId="0" fontId="3" fillId="3" borderId="3"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23" fillId="38" borderId="1" xfId="0" applyFont="1" applyFill="1" applyBorder="1" applyAlignment="1">
      <alignment horizontal="left" vertical="center" wrapText="1"/>
    </xf>
    <xf numFmtId="0" fontId="23" fillId="38" borderId="2" xfId="0" applyFont="1" applyFill="1" applyBorder="1" applyAlignment="1">
      <alignment horizontal="left" vertical="center" wrapText="1"/>
    </xf>
    <xf numFmtId="0" fontId="16" fillId="16" borderId="3" xfId="0" applyFont="1" applyFill="1" applyBorder="1" applyAlignment="1">
      <alignment horizontal="left" vertical="top" wrapText="1"/>
    </xf>
    <xf numFmtId="0" fontId="16" fillId="16" borderId="1" xfId="0" applyFont="1" applyFill="1" applyBorder="1" applyAlignment="1">
      <alignment horizontal="left" vertical="top" wrapText="1"/>
    </xf>
    <xf numFmtId="0" fontId="11" fillId="2" borderId="3" xfId="0" applyFont="1" applyFill="1" applyBorder="1" applyAlignment="1">
      <alignment vertical="top" wrapText="1"/>
    </xf>
    <xf numFmtId="0" fontId="19" fillId="2" borderId="3" xfId="0" applyFont="1" applyFill="1" applyBorder="1" applyAlignment="1">
      <alignment vertical="top" wrapText="1"/>
    </xf>
    <xf numFmtId="0" fontId="33" fillId="0" borderId="26" xfId="0" applyFont="1" applyFill="1" applyBorder="1" applyAlignment="1">
      <alignment horizontal="left" vertical="center" wrapText="1"/>
    </xf>
    <xf numFmtId="0" fontId="33" fillId="0" borderId="47"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19" fillId="2" borderId="0" xfId="0" applyFont="1" applyFill="1" applyAlignment="1">
      <alignment vertical="top" wrapText="1"/>
    </xf>
    <xf numFmtId="0" fontId="22" fillId="36" borderId="26" xfId="0" applyFont="1" applyFill="1" applyBorder="1" applyAlignment="1">
      <alignment horizontal="left" vertical="center" wrapText="1"/>
    </xf>
    <xf numFmtId="0" fontId="22" fillId="36" borderId="48" xfId="0"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33" fillId="4" borderId="37"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41" fillId="0" borderId="0" xfId="0" applyFont="1" applyAlignment="1">
      <alignment horizontal="center" vertical="center" wrapText="1"/>
    </xf>
    <xf numFmtId="0" fontId="22" fillId="36" borderId="47" xfId="0" applyFont="1" applyFill="1" applyBorder="1" applyAlignment="1">
      <alignment horizontal="left"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33" fillId="4" borderId="37" xfId="0" applyNumberFormat="1" applyFont="1" applyFill="1" applyBorder="1" applyAlignment="1">
      <alignment horizontal="center" vertical="center" wrapText="1"/>
    </xf>
    <xf numFmtId="0" fontId="33" fillId="4" borderId="27" xfId="0" applyNumberFormat="1" applyFont="1" applyFill="1" applyBorder="1" applyAlignment="1">
      <alignment horizontal="center" vertical="center" wrapText="1"/>
    </xf>
    <xf numFmtId="14" fontId="23" fillId="0" borderId="3" xfId="0" applyNumberFormat="1" applyFont="1" applyFill="1" applyBorder="1" applyAlignment="1">
      <alignment horizontal="left"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6" fillId="18" borderId="3" xfId="0" applyNumberFormat="1" applyFont="1" applyFill="1" applyBorder="1" applyAlignment="1">
      <alignment horizontal="left" vertical="center" wrapText="1"/>
    </xf>
    <xf numFmtId="0" fontId="6" fillId="18" borderId="1" xfId="0" applyNumberFormat="1" applyFont="1" applyFill="1" applyBorder="1" applyAlignment="1">
      <alignment horizontal="left" vertical="center" wrapText="1"/>
    </xf>
    <xf numFmtId="0" fontId="1" fillId="0" borderId="3" xfId="0" applyFont="1" applyBorder="1" applyAlignment="1">
      <alignmen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4" fillId="2" borderId="13" xfId="0" applyNumberFormat="1" applyFont="1" applyFill="1" applyBorder="1" applyAlignment="1">
      <alignment horizontal="left" vertical="center" wrapText="1"/>
    </xf>
    <xf numFmtId="0" fontId="4" fillId="2" borderId="7" xfId="0" applyNumberFormat="1" applyFont="1" applyFill="1" applyBorder="1" applyAlignment="1">
      <alignment horizontal="left" vertical="center" wrapText="1"/>
    </xf>
    <xf numFmtId="0" fontId="13" fillId="5" borderId="17" xfId="0" applyNumberFormat="1" applyFont="1" applyFill="1" applyBorder="1" applyAlignment="1">
      <alignment horizontal="left" vertical="center" wrapText="1"/>
    </xf>
    <xf numFmtId="0" fontId="13" fillId="5" borderId="22" xfId="0" applyNumberFormat="1" applyFont="1" applyFill="1" applyBorder="1" applyAlignment="1">
      <alignment horizontal="left" vertical="center" wrapText="1"/>
    </xf>
    <xf numFmtId="165" fontId="23" fillId="0" borderId="3" xfId="0" applyNumberFormat="1" applyFont="1" applyFill="1" applyBorder="1" applyAlignment="1">
      <alignment horizontal="left" vertical="center"/>
    </xf>
    <xf numFmtId="0" fontId="37" fillId="5" borderId="1"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37" fillId="5" borderId="2" xfId="0"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22" fillId="14" borderId="1" xfId="0" applyFont="1" applyFill="1" applyBorder="1" applyAlignment="1">
      <alignment horizontal="left" vertical="center"/>
    </xf>
    <xf numFmtId="0" fontId="22" fillId="14" borderId="2" xfId="0" applyFont="1" applyFill="1" applyBorder="1" applyAlignment="1">
      <alignment horizontal="left" vertical="center"/>
    </xf>
    <xf numFmtId="0" fontId="6" fillId="13" borderId="3" xfId="0" applyNumberFormat="1" applyFont="1" applyFill="1" applyBorder="1" applyAlignment="1">
      <alignment horizontal="left" vertical="center" wrapText="1"/>
    </xf>
    <xf numFmtId="0" fontId="6" fillId="13" borderId="1" xfId="0" applyNumberFormat="1" applyFont="1" applyFill="1" applyBorder="1" applyAlignment="1">
      <alignment horizontal="left" vertical="center" wrapText="1"/>
    </xf>
    <xf numFmtId="0" fontId="10" fillId="4" borderId="3" xfId="0" applyNumberFormat="1" applyFont="1" applyFill="1" applyBorder="1" applyAlignment="1">
      <alignment horizontal="center" vertical="center" wrapText="1"/>
    </xf>
    <xf numFmtId="0" fontId="1" fillId="0" borderId="3" xfId="0" applyFont="1" applyBorder="1" applyAlignment="1">
      <alignment horizontal="left" vertical="center"/>
    </xf>
    <xf numFmtId="165" fontId="16" fillId="0" borderId="3" xfId="0" applyNumberFormat="1" applyFont="1" applyBorder="1" applyAlignment="1">
      <alignment horizontal="left" vertical="top" wrapText="1"/>
    </xf>
    <xf numFmtId="0" fontId="7" fillId="0" borderId="3" xfId="0" applyFont="1" applyBorder="1" applyAlignment="1">
      <alignment horizontal="left" vertical="center" wrapText="1"/>
    </xf>
    <xf numFmtId="165" fontId="1"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23" fillId="21" borderId="3" xfId="0" applyFont="1" applyFill="1" applyBorder="1" applyAlignment="1">
      <alignment horizontal="left" vertical="top" wrapText="1"/>
    </xf>
    <xf numFmtId="0" fontId="23" fillId="23" borderId="3" xfId="0" applyFont="1" applyFill="1" applyBorder="1" applyAlignment="1">
      <alignment horizontal="left" vertical="top" wrapText="1"/>
    </xf>
    <xf numFmtId="0" fontId="23" fillId="24" borderId="3" xfId="0" applyFont="1" applyFill="1" applyBorder="1" applyAlignment="1">
      <alignment horizontal="left" vertical="top" wrapText="1"/>
    </xf>
    <xf numFmtId="0" fontId="23" fillId="25" borderId="3" xfId="0" applyFont="1" applyFill="1" applyBorder="1" applyAlignment="1">
      <alignment horizontal="left" vertical="top"/>
    </xf>
    <xf numFmtId="0" fontId="23" fillId="22" borderId="1" xfId="0" applyFont="1" applyFill="1" applyBorder="1" applyAlignment="1">
      <alignment horizontal="left" vertical="top" wrapText="1"/>
    </xf>
    <xf numFmtId="0" fontId="23" fillId="22" borderId="2" xfId="0" applyFont="1" applyFill="1" applyBorder="1" applyAlignment="1">
      <alignment horizontal="left" vertical="top" wrapText="1"/>
    </xf>
    <xf numFmtId="0" fontId="6" fillId="17" borderId="17" xfId="0" applyNumberFormat="1" applyFont="1" applyFill="1" applyBorder="1" applyAlignment="1">
      <alignment horizontal="left" vertical="center" wrapText="1"/>
    </xf>
    <xf numFmtId="0" fontId="6" fillId="17" borderId="22" xfId="0" applyNumberFormat="1" applyFont="1" applyFill="1" applyBorder="1" applyAlignment="1">
      <alignment horizontal="left" vertical="center" wrapText="1"/>
    </xf>
    <xf numFmtId="0" fontId="4" fillId="2" borderId="1" xfId="0" applyNumberFormat="1" applyFont="1" applyFill="1" applyBorder="1" applyAlignment="1">
      <alignment vertical="center" wrapText="1"/>
    </xf>
    <xf numFmtId="0" fontId="4" fillId="2" borderId="2" xfId="0" applyNumberFormat="1" applyFont="1" applyFill="1" applyBorder="1" applyAlignment="1">
      <alignment vertical="center" wrapText="1"/>
    </xf>
    <xf numFmtId="0" fontId="44" fillId="19" borderId="1" xfId="0" applyFont="1" applyFill="1" applyBorder="1" applyAlignment="1">
      <alignment horizontal="left" vertical="center" wrapText="1"/>
    </xf>
    <xf numFmtId="0" fontId="44" fillId="19" borderId="4" xfId="0" applyFont="1" applyFill="1" applyBorder="1" applyAlignment="1">
      <alignment horizontal="left" vertical="center" wrapText="1"/>
    </xf>
    <xf numFmtId="0" fontId="44" fillId="19" borderId="2" xfId="0" applyFont="1" applyFill="1" applyBorder="1" applyAlignment="1">
      <alignment horizontal="left" vertical="center" wrapText="1"/>
    </xf>
    <xf numFmtId="0" fontId="45" fillId="8" borderId="1" xfId="0" applyFont="1" applyFill="1" applyBorder="1" applyAlignment="1">
      <alignment horizontal="left" vertical="center" wrapText="1"/>
    </xf>
    <xf numFmtId="0" fontId="45" fillId="8" borderId="4" xfId="0" applyFont="1" applyFill="1" applyBorder="1" applyAlignment="1">
      <alignment horizontal="left" vertical="center" wrapText="1"/>
    </xf>
    <xf numFmtId="0" fontId="45" fillId="8" borderId="2" xfId="0" applyFont="1" applyFill="1" applyBorder="1" applyAlignment="1">
      <alignment horizontal="left" vertical="center" wrapText="1"/>
    </xf>
  </cellXfs>
  <cellStyles count="18">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17" builtinId="8"/>
    <cellStyle name="Normal" xfId="0" builtinId="0"/>
    <cellStyle name="Normal 2" xfId="1" xr:uid="{00000000-0005-0000-0000-000007000000}"/>
    <cellStyle name="Normal 2 2" xfId="10" xr:uid="{00000000-0005-0000-0000-000008000000}"/>
    <cellStyle name="Normal 2 2 2" xfId="14" xr:uid="{00000000-0005-0000-0000-000009000000}"/>
    <cellStyle name="Normal 2 3" xfId="13" xr:uid="{00000000-0005-0000-0000-00000A000000}"/>
    <cellStyle name="Normal 3" xfId="8" xr:uid="{00000000-0005-0000-0000-00000B000000}"/>
    <cellStyle name="Normal 3 2" xfId="15" xr:uid="{00000000-0005-0000-0000-00000C000000}"/>
    <cellStyle name="Normal 4" xfId="11" xr:uid="{00000000-0005-0000-0000-00000D000000}"/>
    <cellStyle name="Normal 5" xfId="16" xr:uid="{73E5DC28-71E4-4177-B15F-9BC2CC2E8967}"/>
    <cellStyle name="Percent 2" xfId="9" xr:uid="{00000000-0005-0000-0000-00000E000000}"/>
    <cellStyle name="Percent 3" xfId="12" xr:uid="{00000000-0005-0000-0000-00000F000000}"/>
  </cellStyles>
  <dxfs count="141">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tint="4.9989318521683403E-2"/>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tint="4.9989318521683403E-2"/>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strike val="0"/>
        <color theme="2"/>
      </font>
      <fill>
        <patternFill>
          <bgColor theme="2"/>
        </patternFill>
      </fill>
    </dxf>
    <dxf>
      <font>
        <strike val="0"/>
        <color theme="2"/>
      </font>
      <fill>
        <patternFill>
          <bgColor theme="2"/>
        </patternFill>
      </fill>
    </dxf>
    <dxf>
      <font>
        <strike val="0"/>
        <color theme="2"/>
      </font>
      <fill>
        <patternFill>
          <bgColor theme="2"/>
        </patternFill>
      </fill>
    </dxf>
    <dxf>
      <font>
        <strike val="0"/>
        <color theme="2"/>
      </font>
      <fill>
        <patternFill>
          <bgColor theme="2"/>
        </patternFill>
      </fill>
    </dxf>
    <dxf>
      <font>
        <color rgb="FF0C0C0C"/>
      </font>
      <fill>
        <patternFill patternType="solid">
          <fgColor rgb="FFFFE598"/>
          <bgColor rgb="FFFFE598"/>
        </patternFill>
      </fill>
      <border>
        <left style="thin">
          <color rgb="FF000000"/>
        </left>
        <right style="thin">
          <color rgb="FF000000"/>
        </right>
        <top style="thin">
          <color rgb="FF000000"/>
        </top>
        <bottom style="thin">
          <color rgb="FF000000"/>
        </bottom>
      </border>
    </dxf>
    <dxf>
      <font>
        <color theme="1"/>
      </font>
      <fill>
        <patternFill patternType="solid">
          <fgColor rgb="FFFFE598"/>
          <bgColor rgb="FFFFE598"/>
        </patternFill>
      </fill>
      <border>
        <left style="thin">
          <color rgb="FF000000"/>
        </left>
        <right style="thin">
          <color rgb="FF000000"/>
        </right>
        <top style="thin">
          <color rgb="FF000000"/>
        </top>
        <bottom style="thin">
          <color rgb="FF000000"/>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strike/>
        <color theme="2" tint="-0.499984740745262"/>
      </font>
      <fill>
        <patternFill>
          <bgColor theme="2"/>
        </patternFill>
      </fill>
    </dxf>
    <dxf>
      <font>
        <strike/>
        <color theme="2" tint="-0.499984740745262"/>
      </font>
    </dxf>
    <dxf>
      <font>
        <color theme="0"/>
      </font>
    </dxf>
    <dxf>
      <font>
        <color theme="0"/>
      </font>
    </dxf>
    <dxf>
      <font>
        <color theme="0"/>
      </font>
    </dxf>
    <dxf>
      <font>
        <color theme="0"/>
      </font>
    </dxf>
    <dxf>
      <font>
        <color theme="0"/>
      </font>
    </dxf>
    <dxf>
      <font>
        <color theme="0"/>
      </font>
    </dxf>
    <dxf>
      <font>
        <b val="0"/>
        <i/>
        <strike/>
        <color theme="2" tint="-9.9948118533890809E-2"/>
      </font>
      <fill>
        <patternFill>
          <bgColor theme="2"/>
        </patternFill>
      </fill>
    </dxf>
    <dxf>
      <font>
        <strike/>
        <color theme="0" tint="-0.34998626667073579"/>
      </font>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b val="0"/>
        <i/>
        <color theme="1" tint="0.499984740745262"/>
      </font>
    </dxf>
    <dxf>
      <font>
        <b val="0"/>
        <i/>
        <color theme="1" tint="0.499984740745262"/>
      </font>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tint="4.9989318521683403E-2"/>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color theme="7" tint="-0.24994659260841701"/>
      </font>
      <fill>
        <patternFill>
          <bgColor theme="1"/>
        </patternFill>
      </fill>
      <border>
        <left style="thin">
          <color auto="1"/>
        </left>
        <right style="thin">
          <color auto="1"/>
        </right>
        <top style="thin">
          <color auto="1"/>
        </top>
        <bottom style="thin">
          <color auto="1"/>
        </bottom>
      </border>
    </dxf>
    <dxf>
      <font>
        <sz val="9"/>
      </font>
    </dxf>
    <dxf>
      <font>
        <sz val="9"/>
      </font>
    </dxf>
    <dxf>
      <font>
        <b val="0"/>
      </font>
    </dxf>
    <dxf>
      <font>
        <b val="0"/>
      </font>
    </dxf>
    <dxf>
      <font>
        <b val="0"/>
      </font>
    </dxf>
    <dxf>
      <font>
        <b val="0"/>
      </font>
    </dxf>
    <dxf>
      <font>
        <b val="0"/>
      </font>
    </dxf>
    <dxf>
      <font>
        <b val="0"/>
      </font>
    </dxf>
    <dxf>
      <font>
        <b val="0"/>
      </font>
    </dxf>
    <dxf>
      <font>
        <b val="0"/>
      </font>
    </dxf>
    <dxf>
      <font>
        <b val="0"/>
      </font>
    </dxf>
    <dxf>
      <numFmt numFmtId="165" formatCode="0;;;@"/>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FFFFF0C2"/>
      <rgbColor rgb="FF68070C"/>
      <rgbColor rgb="FFAAAAAA"/>
      <rgbColor rgb="FF7F0424"/>
      <rgbColor rgb="FFF3E4B5"/>
      <rgbColor rgb="FF0563C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3F1FF"/>
      <color rgb="FFFFE7FA"/>
      <color rgb="FFEDDFFF"/>
      <color rgb="FFE0D2F5"/>
      <color rgb="FFF9EDEF"/>
      <color rgb="FFF2DCDB"/>
      <color rgb="FFD7E1EC"/>
      <color rgb="FFFF5E49"/>
      <color rgb="FF680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Subsection Scores</a:t>
            </a:r>
          </a:p>
        </c:rich>
      </c:tx>
      <c:layout>
        <c:manualLayout>
          <c:xMode val="edge"/>
          <c:yMode val="edge"/>
          <c:x val="0.38155893611806635"/>
          <c:y val="1.5194681861348529E-2"/>
        </c:manualLayout>
      </c:layout>
      <c:overlay val="0"/>
      <c:spPr>
        <a:noFill/>
        <a:ln>
          <a:noFill/>
        </a:ln>
        <a:effectLst/>
      </c:sp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1"/>
          <c:order val="0"/>
          <c:tx>
            <c:strRef>
              <c:f>Values!$J$2:$J$20</c:f>
              <c:strCache>
                <c:ptCount val="19"/>
                <c:pt idx="0">
                  <c:v>Company</c:v>
                </c:pt>
                <c:pt idx="1">
                  <c:v>Documentation</c:v>
                </c:pt>
                <c:pt idx="2">
                  <c:v>Accessibility</c:v>
                </c:pt>
                <c:pt idx="3">
                  <c:v>Third Parties</c:v>
                </c:pt>
                <c:pt idx="5">
                  <c:v>Application Security</c:v>
                </c:pt>
                <c:pt idx="6">
                  <c:v>Authentication, Authorization, and Accounting</c:v>
                </c:pt>
                <c:pt idx="7">
                  <c:v>Business Continuity Plan</c:v>
                </c:pt>
                <c:pt idx="8">
                  <c:v>Change Management</c:v>
                </c:pt>
                <c:pt idx="9">
                  <c:v>Data</c:v>
                </c:pt>
                <c:pt idx="10">
                  <c:v>Datacenter</c:v>
                </c:pt>
                <c:pt idx="11">
                  <c:v>Disaster Recovery Plan</c:v>
                </c:pt>
                <c:pt idx="12">
                  <c:v>Firewalls, IDS, IPS, and Networking</c:v>
                </c:pt>
                <c:pt idx="13">
                  <c:v>Policies, Procedures, and Processes</c:v>
                </c:pt>
                <c:pt idx="14">
                  <c:v>Incident Handling</c:v>
                </c:pt>
                <c:pt idx="15">
                  <c:v>Quality Assurance</c:v>
                </c:pt>
                <c:pt idx="16">
                  <c:v>Vulnerability Scanning</c:v>
                </c:pt>
              </c:strCache>
            </c:strRef>
          </c:tx>
          <c:spPr>
            <a:solidFill>
              <a:srgbClr val="FF0000"/>
            </a:solidFill>
          </c:spPr>
          <c:invertIfNegative val="0"/>
          <c:cat>
            <c:strRef>
              <c:f>Values!$J$2:$J$20</c:f>
              <c:strCache>
                <c:ptCount val="17"/>
                <c:pt idx="0">
                  <c:v>Company</c:v>
                </c:pt>
                <c:pt idx="1">
                  <c:v>Documentation</c:v>
                </c:pt>
                <c:pt idx="2">
                  <c:v>Accessibility</c:v>
                </c:pt>
                <c:pt idx="3">
                  <c:v>Third Parties</c:v>
                </c:pt>
                <c:pt idx="5">
                  <c:v>Application Security</c:v>
                </c:pt>
                <c:pt idx="6">
                  <c:v>Authentication, Authorization, and Accounting</c:v>
                </c:pt>
                <c:pt idx="7">
                  <c:v>Business Continuity Plan</c:v>
                </c:pt>
                <c:pt idx="8">
                  <c:v>Change Management</c:v>
                </c:pt>
                <c:pt idx="9">
                  <c:v>Data</c:v>
                </c:pt>
                <c:pt idx="10">
                  <c:v>Datacenter</c:v>
                </c:pt>
                <c:pt idx="11">
                  <c:v>Disaster Recovery Plan</c:v>
                </c:pt>
                <c:pt idx="12">
                  <c:v>Firewalls, IDS, IPS, and Networking</c:v>
                </c:pt>
                <c:pt idx="13">
                  <c:v>Policies, Procedures, and Processes</c:v>
                </c:pt>
                <c:pt idx="14">
                  <c:v>Incident Handling</c:v>
                </c:pt>
                <c:pt idx="15">
                  <c:v>Quality Assurance</c:v>
                </c:pt>
                <c:pt idx="16">
                  <c:v>Vulnerability Scanning</c:v>
                </c:pt>
              </c:strCache>
            </c:strRef>
          </c:cat>
          <c:val>
            <c:numRef>
              <c:f>Values!$I$2:$I$20</c:f>
              <c:numCache>
                <c:formatCode>0.00%</c:formatCode>
                <c:ptCount val="19"/>
                <c:pt idx="0">
                  <c:v>0.625</c:v>
                </c:pt>
                <c:pt idx="1">
                  <c:v>0.63636363636363635</c:v>
                </c:pt>
                <c:pt idx="2">
                  <c:v>0.88888888888888884</c:v>
                </c:pt>
                <c:pt idx="3">
                  <c:v>0.6470588235294118</c:v>
                </c:pt>
                <c:pt idx="4">
                  <c:v>0</c:v>
                </c:pt>
                <c:pt idx="5">
                  <c:v>1</c:v>
                </c:pt>
                <c:pt idx="6">
                  <c:v>0.5617977528089888</c:v>
                </c:pt>
                <c:pt idx="7">
                  <c:v>1</c:v>
                </c:pt>
                <c:pt idx="8">
                  <c:v>0.96296296296296291</c:v>
                </c:pt>
                <c:pt idx="9">
                  <c:v>0.83838383838383834</c:v>
                </c:pt>
                <c:pt idx="10">
                  <c:v>0.7142857142857143</c:v>
                </c:pt>
                <c:pt idx="11">
                  <c:v>0.73913043478260865</c:v>
                </c:pt>
                <c:pt idx="12">
                  <c:v>1</c:v>
                </c:pt>
                <c:pt idx="13">
                  <c:v>1</c:v>
                </c:pt>
                <c:pt idx="14">
                  <c:v>0.75</c:v>
                </c:pt>
                <c:pt idx="15">
                  <c:v>0.83333333333333337</c:v>
                </c:pt>
                <c:pt idx="16">
                  <c:v>0.30769230769230771</c:v>
                </c:pt>
                <c:pt idx="17">
                  <c:v>0</c:v>
                </c:pt>
                <c:pt idx="18">
                  <c:v>0</c:v>
                </c:pt>
              </c:numCache>
            </c:numRef>
          </c:val>
          <c:extLst>
            <c:ext xmlns:c16="http://schemas.microsoft.com/office/drawing/2014/chart" uri="{C3380CC4-5D6E-409C-BE32-E72D297353CC}">
              <c16:uniqueId val="{00000006-E007-42A3-87BD-6B8D651659D1}"/>
            </c:ext>
          </c:extLst>
        </c:ser>
        <c:dLbls>
          <c:showLegendKey val="0"/>
          <c:showVal val="0"/>
          <c:showCatName val="0"/>
          <c:showSerName val="0"/>
          <c:showPercent val="0"/>
          <c:showBubbleSize val="0"/>
        </c:dLbls>
        <c:gapWidth val="182"/>
        <c:shape val="box"/>
        <c:axId val="975669256"/>
        <c:axId val="975664336"/>
        <c:axId val="0"/>
      </c:bar3DChart>
      <c:catAx>
        <c:axId val="975669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Verdana" panose="020B0604030504040204" pitchFamily="34" charset="0"/>
              </a:defRPr>
            </a:pPr>
            <a:endParaRPr lang="en-US"/>
          </a:p>
        </c:txPr>
        <c:crossAx val="975664336"/>
        <c:crosses val="autoZero"/>
        <c:auto val="1"/>
        <c:lblAlgn val="ctr"/>
        <c:lblOffset val="100"/>
        <c:noMultiLvlLbl val="0"/>
      </c:catAx>
      <c:valAx>
        <c:axId val="97566433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669256"/>
        <c:crosses val="autoZero"/>
        <c:crossBetween val="between"/>
        <c:majorUnit val="0.1"/>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374900" cy="520700"/>
    <xdr:pic>
      <xdr:nvPicPr>
        <xdr:cNvPr id="2" name="Picture 1" descr="Brandmark of EDUCAUSE ">
          <a:extLst>
            <a:ext uri="{FF2B5EF4-FFF2-40B4-BE49-F238E27FC236}">
              <a16:creationId xmlns:a16="http://schemas.microsoft.com/office/drawing/2014/main" id="{0F2A7CD8-61BD-4287-B755-4B97C5AAE1B5}"/>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583822</xdr:colOff>
      <xdr:row>13</xdr:row>
      <xdr:rowOff>239792</xdr:rowOff>
    </xdr:from>
    <xdr:to>
      <xdr:col>1</xdr:col>
      <xdr:colOff>4576526</xdr:colOff>
      <xdr:row>13</xdr:row>
      <xdr:rowOff>1508074</xdr:rowOff>
    </xdr:to>
    <xdr:pic>
      <xdr:nvPicPr>
        <xdr:cNvPr id="11" name="Picture 10" descr="Visual representation of the information above. ">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583822" y="7707392"/>
          <a:ext cx="5859604" cy="1268282"/>
        </a:xfrm>
        <a:prstGeom prst="rect">
          <a:avLst/>
        </a:prstGeom>
      </xdr:spPr>
    </xdr:pic>
    <xdr:clientData/>
  </xdr:twoCellAnchor>
  <xdr:twoCellAnchor editAs="oneCell">
    <xdr:from>
      <xdr:col>0</xdr:col>
      <xdr:colOff>571500</xdr:colOff>
      <xdr:row>16</xdr:row>
      <xdr:rowOff>254000</xdr:rowOff>
    </xdr:from>
    <xdr:to>
      <xdr:col>2</xdr:col>
      <xdr:colOff>3175</xdr:colOff>
      <xdr:row>16</xdr:row>
      <xdr:rowOff>1358900</xdr:rowOff>
    </xdr:to>
    <xdr:pic>
      <xdr:nvPicPr>
        <xdr:cNvPr id="6" name="Picture 5" descr=" For this example, questions in the HIPAA section become optional based on the answer to QUAL-01. ">
          <a:extLst>
            <a:ext uri="{FF2B5EF4-FFF2-40B4-BE49-F238E27FC236}">
              <a16:creationId xmlns:a16="http://schemas.microsoft.com/office/drawing/2014/main" id="{1F7B47DC-2CB5-2B83-83F9-CDB825EA3424}"/>
            </a:ext>
          </a:extLst>
        </xdr:cNvPr>
        <xdr:cNvPicPr>
          <a:picLocks noChangeAspect="1"/>
        </xdr:cNvPicPr>
      </xdr:nvPicPr>
      <xdr:blipFill>
        <a:blip xmlns:r="http://schemas.openxmlformats.org/officeDocument/2006/relationships" r:embed="rId2"/>
        <a:stretch>
          <a:fillRect/>
        </a:stretch>
      </xdr:blipFill>
      <xdr:spPr>
        <a:xfrm>
          <a:off x="571500" y="10312400"/>
          <a:ext cx="9842500"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5</xdr:row>
      <xdr:rowOff>323849</xdr:rowOff>
    </xdr:from>
    <xdr:to>
      <xdr:col>4</xdr:col>
      <xdr:colOff>2009774</xdr:colOff>
      <xdr:row>44</xdr:row>
      <xdr:rowOff>161924</xdr:rowOff>
    </xdr:to>
    <xdr:graphicFrame macro="">
      <xdr:nvGraphicFramePr>
        <xdr:cNvPr id="2" name="Chart 1" descr="Graphical representation of the scoring chart that is available in text form on the Analyst Report tab C13:G3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88900</xdr:rowOff>
    </xdr:from>
    <xdr:to>
      <xdr:col>0</xdr:col>
      <xdr:colOff>2330450</xdr:colOff>
      <xdr:row>3</xdr:row>
      <xdr:rowOff>114300</xdr:rowOff>
    </xdr:to>
    <xdr:pic>
      <xdr:nvPicPr>
        <xdr:cNvPr id="2" name="Picture 4" descr="Brandmark of EDUCAUSE ">
          <a:extLst>
            <a:ext uri="{FF2B5EF4-FFF2-40B4-BE49-F238E27FC236}">
              <a16:creationId xmlns:a16="http://schemas.microsoft.com/office/drawing/2014/main" id="{DDF1EBAA-F970-954B-A7DE-04AD2B627A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88900"/>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475.367752430553" createdVersion="6" refreshedVersion="6" minRefreshableVersion="3" recordCount="257" xr:uid="{00000000-000A-0000-FFFF-FFFF00000000}">
  <cacheSource type="worksheet">
    <worksheetSource ref="H43" sheet="Questions"/>
  </cacheSource>
  <cacheFields count="27">
    <cacheField name="ID" numFmtId="0">
      <sharedItems count="257">
        <s v="GNRL-01"/>
        <s v="GNRL-02"/>
        <s v="GNRL-03"/>
        <s v="GNRL-04"/>
        <s v="GNRL-05"/>
        <s v="GNRL-06"/>
        <s v="GNRL-07"/>
        <s v="GNRL-08"/>
        <s v="GNRL-09"/>
        <s v="GNRL-10"/>
        <s v="GNRL-11"/>
        <s v="GNRL-12"/>
        <s v="GNRL-13"/>
        <s v="GNRL-14"/>
        <s v="GNRL-15"/>
        <s v="QUAL-01"/>
        <s v="QUAL-02"/>
        <s v="QUAL-03"/>
        <s v="QUAL-04"/>
        <s v="QUAL-05"/>
        <s v="QUAL-06"/>
        <s v="QUAL-07"/>
        <s v="COMP-01"/>
        <s v="COMP-02"/>
        <s v="COMP-03"/>
        <s v="COMP-04"/>
        <s v="COMP-05"/>
        <s v="DOCU-01"/>
        <s v="DOCU-02"/>
        <s v="DOCU-03"/>
        <s v="DOCU-04"/>
        <s v="DOCU-05"/>
        <s v="DOCU-06"/>
        <s v="DOCU-07"/>
        <s v="DOCU-08"/>
        <s v="DOCU-09"/>
        <s v="DOCU-10"/>
        <s v="DOCU-11"/>
        <s v="ITAC-01"/>
        <s v="ITAC-02"/>
        <s v="ITAC-03"/>
        <s v="ITAC-04"/>
        <s v="ITAC-05"/>
        <s v="ITAC-06"/>
        <s v="ITAC-07"/>
        <s v="ITAC-08"/>
        <s v="ITAC-09"/>
        <s v="THRD-01"/>
        <s v="THRD-02"/>
        <s v="THRD-03"/>
        <s v="THRD-04"/>
        <s v="THRD-05"/>
        <s v="CONS-01"/>
        <s v="CONS-02"/>
        <s v="CONS-03"/>
        <s v="CONS-04"/>
        <s v="CONS-05"/>
        <s v="CONS-06"/>
        <s v="CONS-07"/>
        <s v="CONS-08"/>
        <s v="CONS-09"/>
        <s v="APPL-01"/>
        <s v="APPL-02"/>
        <s v="APPL-03"/>
        <s v="APPL-04"/>
        <s v="APPL-05"/>
        <s v="APPL-06"/>
        <s v="APPL-07"/>
        <s v="APPL-08"/>
        <s v="APPL-09"/>
        <s v="APPL-10"/>
        <s v="APPL-11"/>
        <s v="APPL-12"/>
        <s v="APPL-13"/>
        <s v="APPL-14"/>
        <s v="APPL-15"/>
        <s v="AAAI-01"/>
        <s v="AAAI-02"/>
        <s v="AAAI-03"/>
        <s v="AAAI-04"/>
        <s v="AAAI-05"/>
        <s v="AAAI-06"/>
        <s v="AAAI-07"/>
        <s v="AAAI-08"/>
        <s v="AAAI-09"/>
        <s v="AAAI-10"/>
        <s v="AAAI-11"/>
        <s v="AAAI-12"/>
        <s v="AAAI-13"/>
        <s v="AAAI-14"/>
        <s v="AAAI-15"/>
        <s v="AAAI-16"/>
        <s v="AAAI-17"/>
        <s v="AAAI-18"/>
        <s v="AAAI-19"/>
        <s v="BCPL-01"/>
        <s v="BCPL-02"/>
        <s v="BCPL-03"/>
        <s v="BCPL-04"/>
        <s v="BCPL-05"/>
        <s v="BCPL-06"/>
        <s v="BCPL-07"/>
        <s v="BCPL-08"/>
        <s v="BCPL-09"/>
        <s v="BCPL-10"/>
        <s v="CHNG-01"/>
        <s v="CHNG-02"/>
        <s v="CHNG-03"/>
        <s v="CHNG-04"/>
        <s v="CHNG-05"/>
        <s v="CHNG-06"/>
        <s v="CHNG-07"/>
        <s v="CHNG-08"/>
        <s v="CHNG-09"/>
        <s v="CHNG-10"/>
        <s v="CHNG-11"/>
        <s v="CHNG-12"/>
        <s v="CHNG-13"/>
        <s v="CHNG-14"/>
        <s v="CHNG-15"/>
        <s v="CHNG-16"/>
        <s v="DATA-01"/>
        <s v="DATA-02"/>
        <s v="DATA-03"/>
        <s v="DATA-04"/>
        <s v="DATA-05"/>
        <s v="DATA-06"/>
        <s v="DATA-07"/>
        <s v="DATA-08"/>
        <s v="DATA-09"/>
        <s v="DATA-10"/>
        <s v="DATA-11"/>
        <s v="DATA-12"/>
        <s v="DATA-13"/>
        <s v="DATA-14"/>
        <s v="DATA-15"/>
        <s v="DATA-16"/>
        <s v="DATA-17"/>
        <s v="DATA-18"/>
        <s v="DATA-19"/>
        <s v="DATA-20"/>
        <s v="DATA-21"/>
        <s v="DATA-22"/>
        <s v="DATA-23"/>
        <s v="DATA-24"/>
        <s v="DCTR-01"/>
        <s v="DCTR-02"/>
        <s v="DCTR-03"/>
        <s v="DCTR-04"/>
        <s v="DCTR-05"/>
        <s v="DCTR-06"/>
        <s v="DCTR-07"/>
        <s v="DCTR-08"/>
        <s v="DCTR-09"/>
        <s v="DCTR-10"/>
        <s v="DCTR-11"/>
        <s v="DCTR-12"/>
        <s v="DCTR-13"/>
        <s v="DCTR-14"/>
        <s v="DCTR-15"/>
        <s v="DCTR-16"/>
        <s v="DCTR-17"/>
        <s v="DRPL-01"/>
        <s v="DRPL-02"/>
        <s v="DRPL-03"/>
        <s v="DRPL-04"/>
        <s v="DRPL-05"/>
        <s v="DRPL-06"/>
        <s v="DRPL-07"/>
        <s v="DRPL-08"/>
        <s v="DRPL-09"/>
        <s v="DRPL-10"/>
        <s v="DRPL-11"/>
        <s v="FIDP-01"/>
        <s v="FIDP-02"/>
        <s v="FIDP-03"/>
        <s v="FIDP-04"/>
        <s v="FIDP-05"/>
        <s v="FIDP-06"/>
        <s v="FIDP-07"/>
        <s v="FIDP-08"/>
        <s v="FIDP-09"/>
        <s v="FIDP-10"/>
        <s v="FIDP-11"/>
        <s v="PPPR-01"/>
        <s v="PPPR-02"/>
        <s v="PPPR-03"/>
        <s v="PPPR-04"/>
        <s v="PPPR-05"/>
        <s v="PPPR-06"/>
        <s v="PPPR-07"/>
        <s v="PPPR-08"/>
        <s v="PPPR-09"/>
        <s v="PPPR-10"/>
        <s v="PPPR-11"/>
        <s v="PPPR-12"/>
        <s v="PPPR-13"/>
        <s v="PPPR-14"/>
        <s v="PPPR-15"/>
        <s v="PPPR-16"/>
        <s v="PPPR-17"/>
        <s v="IH-01"/>
        <s v="IH-02"/>
        <s v="IH-03"/>
        <s v="IH-04"/>
        <s v="QLAS-01"/>
        <s v="QLAS-02"/>
        <s v="QLAS-03"/>
        <s v="QLAS-04"/>
        <s v="QLAS-05"/>
        <s v="VULN-01"/>
        <s v="VULN-02"/>
        <s v="VULN-03"/>
        <s v="VULN-04"/>
        <s v="VULN-05"/>
        <s v="VULN-06"/>
        <s v="HIPA-01"/>
        <s v="HIPA-02"/>
        <s v="HIPA-03"/>
        <s v="HIPA-04"/>
        <s v="HIPA-05"/>
        <s v="HIPA-06"/>
        <s v="HIPA-07"/>
        <s v="HIPA-08"/>
        <s v="HIPA-09"/>
        <s v="HIPA-10"/>
        <s v="HIPA-11"/>
        <s v="HIPA-12"/>
        <s v="HIPA-13"/>
        <s v="HIPA-14"/>
        <s v="HIPA-15"/>
        <s v="HIPA-16"/>
        <s v="HIPA-17"/>
        <s v="HIPA-18"/>
        <s v="HIPA-19"/>
        <s v="HIPA-20"/>
        <s v="HIPA-21"/>
        <s v="HIPA-22"/>
        <s v="HIPA-23"/>
        <s v="HIPA-24"/>
        <s v="HIPA-25"/>
        <s v="HIPA-26"/>
        <s v="HIPA-27"/>
        <s v="HIPA-28"/>
        <s v="HIPA-29"/>
        <s v="PCID-01"/>
        <s v="PCID-02"/>
        <s v="PCID-03"/>
        <s v="PCID-04"/>
        <s v="PCID-05"/>
        <s v="PCID-06"/>
        <s v="PCID-07"/>
        <s v="PCID-08"/>
        <s v="PCID-09"/>
        <s v="PCID-10"/>
        <s v="PCID-11"/>
        <s v="PCID-12"/>
      </sharedItems>
    </cacheField>
    <cacheField name="Question" numFmtId="0">
      <sharedItems count="254" longText="1">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oes your product process protected health information (PHI) or any data covered by the Health Insurance Portability and Accountability Act?"/>
        <s v="Will institution data be shared with or hosted by any third parties? (e.g. any entity not wholly-owned by your company is considered a third-party)"/>
        <s v="Do you have a well documented Business Continuity Plan (BCP) that is tested annually?"/>
        <s v="Do you have a well documented Disaster Recovery Plan (DRP) that is tested annually?"/>
        <s v="Is the vended product designed to process or store Credit Card information?"/>
        <s v="Does your company provide professional services pertaining to this product?"/>
        <s v="Select your hosting option"/>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Use this area to share information about your environment that will assist those who are assessing your company data security program."/>
        <s v="Have you undergone a SSAE 18/SOC 2 audit?"/>
        <s v="Have you completed the Cloud Security Alliance (CSA) self assessment or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udit of the most recent version of your product?"/>
        <s v="Do you have a documented and implemented process for verifying accessibility conformance?"/>
        <s v="Have you adopted a technical or legal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Do you perform security assessments of third party companies with which you share data? (i.e. hosting providers, cloud services, PaaS, IaaS, SaaS, etc.)."/>
        <s v="Provide a brief description for why each of these third parties will have access to institution data."/>
        <s v="What legal agreements (i.e. contracts) do you have in place with these third parties that address liability in the event of a data breach?"/>
        <s v="Do you have an implemented third party management strategy?"/>
        <s v="Do you have a process and implemented procedures for managing your hardware supply chain? (e.g., telecommunications equipment, export licensing, computing devices)"/>
        <s v="Will the consulting take place on-premises?"/>
        <s v="Will the consultant require access to Institution's network resources?"/>
        <s v="Will the consultant require access to hardware in the Institution's data centers?"/>
        <s v="Will the consultant require an account within the Institution's domain (@*.edu)?"/>
        <s v="Has the consultant received training on [sensitive, HIPAA, PCI, etc.] data handling?"/>
        <s v="Will any data be transferred to the consultant's possession?"/>
        <s v="Is it encrypted (at rest) while in the consultant's possession?"/>
        <s v="Will the consultant need remote access to the Institution's network or systems?"/>
        <s v="Can we restrict that access based on source IP addres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Are only currently supported operating system(s), software, and libraries leveraged by the system(s)/application(s) that will have access to institution's data?"/>
        <s v="If mobile, is the application available from a trusted source (e.g., App Store, Google Play Store)?"/>
        <s v="Does your application require access to location or GPS data?"/>
        <s v="Does your application provide separation of duties between security administration, system administration, and standard user functions?"/>
        <s v="Do you have a fully implemented policy or procedure that details how your employees obtain administrator access to instutional instance of the application?"/>
        <s v="Have your developers been trained in secure coding techniques?"/>
        <s v="Was your application developed using secure coding techniques?"/>
        <s v="Do you subject your code to static code analysis and/or static application security testing prior to release?"/>
        <s v="Do you have software testing processes (dynamic or static) that are established and followed?"/>
        <s v="Does your solution support single sign-on (SSO) protocols for user and administrator authentication?"/>
        <s v="Does your solution support local authentication protocols for user and administrator authentication?"/>
        <s v="Can you enforce password/passphrase aging requirements?"/>
        <s v="Can you enforce password/passphrase complexity requirements [provided by the institution]?"/>
        <s v="Does the system have password complexity or length limitations and/or restrictions?"/>
        <s v="Do you have documented password/passphrase reset procedures that are currently implemented in the system and/or customer support?"/>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s v="If you don't support SSO, does your application and/or user-frontend/portal support multi-factor authentication? (e.g. Duo, Google Authenticator, OTP, etc.)"/>
        <s v="Does your application automatically lock the session or log-out an account after a period of inactivity?"/>
        <s v="Are there any passwords/passphrases hard coded into your systems or products?"/>
        <s v="Are you storing any passwords in plaintext?"/>
        <s v="Does your application support directory integration for user accounts?"/>
        <s v="Are audit logs available that include AT LEAST all of the following; login, logout, actions performed, and source IP address?"/>
        <s v="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s v="Describe or provide a reference to the retention period for those logs, how logs are protected, and whether they are accessible to the customer (and if so, how)."/>
        <s v="Is an owner assigned who is responsible for the maintenance and review of the Business Continuity Plan?"/>
        <s v="Is there a defined problem/issue escalation plan in your BCP for impacted clients?"/>
        <s v="Is there a documented communication plan in your BCP for impacted clients?"/>
        <s v="Are all components of the BCP reviewed at least annually and updated as needed to reflect change?"/>
        <s v="Are specific crisis management roles and responsibilities defined and documented?"/>
        <s v="Does your organization conduct training and awareness activities to validate its employees understanding of their roles and responsibilities during a crisis?"/>
        <s v="Does your organization have an alternative business site or a contracted Business Recovery provider?"/>
        <s v="Does your organization conduct an annual test of relocating to an alternate site for business recovery purposes?"/>
        <s v="Is this product a core service of your organization, and as such, the top priority during business continuity planning?"/>
        <s v="Are all services that support your product fully redundant?"/>
        <s v="Does your Change Management process minimally include authorization, impact analysis, testing, and validation before moving changes to production?"/>
        <s v="Does your Change Management process also verify that all required third party libraries and dependencies are still supported with each major change?"/>
        <s v="Will the institution be notified of major changes to your environment that could impact the institution's security posture?"/>
        <s v="Do clients have the option to not participate in or postpone an upgrade to a new release?"/>
        <s v="Do you have a fully implemented solution support strategy that defines how many concurrent versions you support?"/>
        <s v="Does the system support client customizations from one release to another?"/>
        <s v="Do you have a release schedule for product updates?"/>
        <s v="Do you have a technology roadmap, for at least the next 2 years, for enhancements and bug fixes for the product/service being assessed?"/>
        <s v="Is Institution involvement (i.e. technically or organizationally) required during product updates?"/>
        <s v="Do you have policy and procedure, currently implemented, managing how critical patches are applied to all systems and applications?"/>
        <s v="Do you have policy and procedure, currently implemented, guiding how security risks are mitigated until patches can be applied?"/>
        <s v="Are upgrades or system changes installed during off-peak hours or in a manner that does not impact the customer?"/>
        <s v="Do procedures exist to provide that emergency changes are documented and authorized (including after the fact approval)?"/>
        <s v="Do you have an implemented system configuration management process? (e.g. secure &quot;gold&quot; images, etc.)"/>
        <s v="Do you have a systems management and configuration strategy that encompasses servers, appliances, cloud services, applications, and mobile devices (company and employee owned)?"/>
        <s v="Does the environment provide for dedicated single-tenant capabilities? If not, describe how your product or environment separates data from different customers (e.g., logically, physically, single tenancy, multi-tenancy)."/>
        <s v="Will Institution's data be stored on any devices (database servers, file servers, SAN, NAS, …) configured with non-RFC 1918/4193 (i.e. publicly routable) IP addresses?"/>
        <s v="Is sensitive data encrypted, using secure protocols/algorithms, in transport? (e.g. system-to-client)"/>
        <s v="Is sensitive data encrypted, using secure protocols/algorithms, in storage? (e.g. disk encryption, at-rest, files, and within a running database)"/>
        <s v="Do all cryptographic modules in use in your product conform to the Federal Information Processing Standards (FIPS PUB 140-2)?"/>
        <s v="At the completion of this contract, will data be returned to the institution and deleted from all your systems and archives?"/>
        <s v="Will the institution's data be available within the system for a period of time at the completion of this contract?"/>
        <s v="Can the Institution extract a full or partial backup of data?"/>
        <s v="Are ownership rights to all data, inputs, outputs, and metadata retained by the institution?"/>
        <s v="Are these rights retained even through a provider acquisition or bankruptcy event?"/>
        <s v="In the event of imminent bankruptcy, closing of business, or retirement of service, will you provide 90 days for customers to get their data out of the system and migrate applications?"/>
        <s v="Are involatile backup copies made according to pre-defined schedules and securely stored and protected?"/>
        <s v="Do current backups include all operating system software, utilities, security software, application software, and data files necessary for recovery?"/>
        <s v="Are you performing off site backups? (i.e. digitally moved off site)"/>
        <s v="Are physical backups taken off site? (i.e. physically moved off site)"/>
        <s v="Do backups containing the institution's data ever leave the Institution's Data Zone either physically or via network routing?"/>
        <s v="Are data backups encrypted?"/>
        <s v="Do you have a cryptographic key management process (generation, exchange, storage, safeguards, use, vetting, and replacement), that is documented and currently implemented, for all system components? (e.g. database, system, web, etc.)"/>
        <s v="Do you have a media handling process, that is documented and currently implemented that meets established business needs and regulatory requirements, including end-of-life, repurposing, and data sanitization procedures?"/>
        <s v="Does the process described in DATA-23 adhere to DoD 5220.22-M and/or NIST SP 800-88 standards?"/>
        <s v="Is media used for long-term retention of business data and archival purposes stored in a secure, environmentally protected area?"/>
        <s v="Will you handle data in a FERPA compliant manner?"/>
        <s v="Does your staff (or third party) have access to Institutional data (e.g., financial, PHI or other sensitive information) through any means?"/>
        <s v="Does the hosting provider have a SOC 2 Type 2 report available?"/>
        <s v="Are you generally able to accomodate storing each institution's data within their geographic region?"/>
        <s v="Are the data centers staffed 24 hours a day, seven days a week (i.e., 24x7x365)?"/>
        <s v="Are your servers separated from other companies via a physical barrier, such as a cage or hardened walls?"/>
        <s v="Does a physical barrier fully enclose the physical space preventing unauthorized physical contact with any of your devices?"/>
        <s v="Are your primary and secondary data centers geographically diverse?"/>
        <s v="If outsourced or co-located, is there a contract in place to prevent data from leaving the Institution's Data Zone?"/>
        <s v="What Tier Level is your data center (per levels defined by the Uptime Institute)?"/>
        <s v="Is the service hosted in a high availability environment?"/>
        <s v="Is redundant power available for all datacenters where institution data will reside? "/>
        <s v="Are redundant power strategies tested?"/>
        <s v="Describe or provide a reference to the availability of cooling and fire suppression systems in all datacenters where institution data will reside."/>
        <s v="Do you have Internet Service Provider (ISP) Redundancy?"/>
        <s v="Does every datacenter where the Institution's data will reside have multiple telephone company or network provider entrances to the facility?"/>
        <s v="Are you requiring multi-factor authentication for administrators of your cloud environment?"/>
        <s v="Are you using your cloud providers available hardening tools or pre-hardened images?"/>
        <s v="Does your cloud vendor have access to your encryption keys?"/>
        <s v="Describe or provide a reference to your Disaster Recovery Plan (DRP)."/>
        <s v="Is an owner assigned who is responsible for the maintenance and review of the DRP?"/>
        <s v="Can the Institution review your DRP and supporting documentation?"/>
        <s v="Are any disaster recovery locations outside the Institution's geographic region?"/>
        <s v="Does your organization have a disaster recovery site or a contracted Disaster Recovery provider?"/>
        <s v="Does your organization conduct an annual test of relocating to this site for disaster recovery purposes?"/>
        <s v="Is there a defined problem/issue escalation plan in your DRP for impacted clients?"/>
        <s v="Is there a documented communication plan in your DRP for impacted clients?"/>
        <s v="Describe or provide a reference to how your disaster recovery plan is tested? (i.e. scope of DR tests, end-to-end testing, etc.)"/>
        <s v="Has the Disaster Recovery Plan been tested in the last year?"/>
        <s v="Are all components of the DRP reviewed at least annually and updated as needed to reflect change?"/>
        <s v="Are you utilizing a stateful packet inspection (SPI) firewall?"/>
        <s v="State and describe who has the authority to change firewall rules?"/>
        <s v="Do you have a documented policy for firewall change requests?"/>
        <s v="Have you implemented an Intrusion Detection System (network-based)?"/>
        <s v="Have you implemented an Intrusion Prevention System (network-based)?"/>
        <s v="Do you employ host-based intrusion detection?"/>
        <s v="Do you employ host-based intrusion prevention?"/>
        <s v="Are you employing any next-generation persistent threat (NGPT) monitoring?"/>
        <s v="Do you monitor for intrusions on a 24x7x365 basis?"/>
        <s v="Is intrusion monitoring performed internally or by a third-party service?"/>
        <s v="Are audit logs available for all changes to the network, firewall, IDS, and IPS systems?"/>
        <s v="Can you share the organization chart, mission statement, and policies for your information security unit?"/>
        <s v="Do you have a documented patch management process?"/>
        <s v="Can you accommodate encryption requirements using open standards?"/>
        <s v="Are information security principles designed into the product lifecycle?"/>
        <s v="Do you have a documented systems development life cycle (SDLC)?"/>
        <s v="Do you have a formal incident response plan?"/>
        <s v="Will you comply with applicable breach notification laws?"/>
        <s v="Will you comply with the Institution's IT policies with regards to user privacy and data protection?"/>
        <s v="Is your company subject to Institution's geographic region's laws and regulations?"/>
        <s v="Do you perform background screenings or multi-state background checks on all employees prior to their first day of work?"/>
        <s v="Do you require new employees to fill out agreements and review policies?"/>
        <s v="Do you have a documented information security policy?"/>
        <s v="Do you have an information security awareness program?"/>
        <s v="Is security awareness training mandatory for all employees?"/>
        <s v="Do you have process and procedure(s) documented, and currently followed, that require a review and update of the access-list(s) for privileged accounts?"/>
        <s v="Do you have documented, and currently implemented, internal audit processes and procedures?"/>
        <s v="Does your organization have physical security controls and policies in place?"/>
        <s v="Do you have either an internal incident response team or retain an external team?"/>
        <s v="Do you have the capability to respond to incidents on a 24x7x365 basis?"/>
        <s v="Do you carry cyber-risk insurance to protect against unforeseen service outages, data that is lost or stolen, and security incidents?"/>
        <s v="Do you have a documented and currently implemented Quality Assurance program?"/>
        <s v="Do you comply with ISO 9001?"/>
        <s v="Will your company provide quality and performance metrics in relation to the scope of services and performance expectations for the services you are offering?"/>
        <s v="Do you incorporate customer feedback into security feature requests?"/>
        <s v="Can you provide an evaluation site to the institution for testing?"/>
        <s v="Are your systems and applications regularly scanned externally for vulnerabilities?"/>
        <s v="Have your systems and applications had a third party security assessment completed in the last year?"/>
        <s v="Are your systems and applications scanned with an authenticated user account for vulnerabilities [that are remediated] prior to new releases?"/>
        <s v="Will you provide results of application and system vulnerability scans to the Institution?"/>
        <s v="Describe or provide a reference to how you monitor for and protect against common web application security vulnerabilities (e.g. SQL injection, XSS, XSRF, etc.)."/>
        <s v="Will you allow the institution to perform its own vulnerability testing and/or scanning of your systems and/or application provided that testing is performed at a mutually agreed upon time and date?"/>
        <s v="Do your workforce members receive regular training related to the HIPAA Privacy and Security Rules and the HITECH Act?"/>
        <s v="Do you monitor or receive information regarding changes in HIPAA regulations?"/>
        <s v="Has your organization designated HIPAA Privacy and Security officers as required by the Rules?"/>
        <s v="Do you comply with the requirements of the Health Information Technology for Economic and Clinical Health Act (HITECH)?"/>
        <s v="Have you conducted a risk analysis as required under the Security Rule?"/>
        <s v="Have you identified areas of risks?"/>
        <s v="Have you taken actions to mitigate the identified risks?"/>
        <s v="Does your application require user and system administrator password changes at a frequency no greater than 90 days?"/>
        <s v="Does your application require a user to set their own password after an administrator reset or on first use of the account?"/>
        <s v="Does your application lock-out an account after a number of failed login attempts? "/>
        <s v="Does your application automatically lock or log-out an account after a period of inactivity?"/>
        <s v="Are passwords visible in plain text, whether when stored or entered, including service level accounts (i.e. database accounts, etc.)?"/>
        <s v="If the application is institution-hosted, can all service level and administrative account passwords be changed by the institution?"/>
        <s v="Does your application provide the ability to define user access levels?"/>
        <s v="Does your application support varying levels of access to administrative tasks defined individually per user?"/>
        <s v="Does your application support varying levels of access to records based on user ID?"/>
        <s v="Is there a limit to the number of groups a user can be assigned?"/>
        <s v="Do accounts used for vendor supplied remote support abide by the same authentication policies and access logging as the rest of the system?"/>
        <s v="Does the application log record access including specific user, date/time of access, and originating IP or device? "/>
        <s v="Does the application log administrative activity, such user account access changes and password changes, including specific user, date/time of changes, and originating IP or device?"/>
        <s v="How long does the application keep access/change logs?"/>
        <s v="Can the application logs be archived? "/>
        <s v="Can the application logs be saved externally? "/>
        <s v="Does your data backup and retention policies and practices meet HIPAA requirements?"/>
        <s v="Do you have a disaster recovery plan and emergency mode operation plan?"/>
        <s v="Have the policies/plans mentioned above been tested?"/>
        <s v="Can you provide a HIPAA compliance attestation document?"/>
        <s v="Are you willing to enter into a Business Associate Agreement (BAA)?"/>
        <s v="Have you entered into a BAA with all subcontractors who may have access to protected health information (PHI)?"/>
        <s v="Do your systems or products store, process, or transmit cardholder (payment/credit/debt card) data?"/>
        <s v="Are you compliant with the Payment Card Industry Data Security Standard (PCI DSS)?"/>
        <s v="Do you have a current, executed within the past year, Attestation of Compliance (AoC) or Report on Compliance (RoC)?"/>
        <s v="Are you classified as a service provider?"/>
        <s v="Are you on the list of VISA approved service providers? "/>
        <s v="Are you classified as a merchant?  If so, what level (1, 2, 3, 4)?"/>
        <s v="Describe the architecture employed by the system to verify and authorize credit card transactions."/>
        <s v="What payment processors/gateways does the system support? "/>
        <s v="Can the application be installed in a PCI DSS compliant manner ?"/>
        <s v="Is the application listed as an approved PA-DSS application? "/>
        <s v="Does the system or products use a third party to collect, store, process, or transmit cardholder (payment/credit/debt card) data?"/>
        <s v="Include documentation describing the systems' abilities to comply with the PCI DSS and any features or capabilities of the system that must be added or changed in order to operate in compliance with the standards. "/>
      </sharedItems>
    </cacheField>
    <cacheField name="Additional Info" numFmtId="0">
      <sharedItems containsBlank="1" containsMixedTypes="1" containsNumber="1" containsInteger="1" minValue="0" maxValue="0" count="4">
        <n v="0"/>
        <s v="Additional Information"/>
        <e v="#N/A"/>
        <m/>
      </sharedItems>
    </cacheField>
    <cacheField name="Standard Guidance" numFmtId="0">
      <sharedItems containsBlank="1"/>
    </cacheField>
    <cacheField name="No Guidance" numFmtId="0">
      <sharedItems containsBlank="1"/>
    </cacheField>
    <cacheField name="Yes Guidance" numFmtId="0">
      <sharedItems containsBlank="1" longText="1"/>
    </cacheField>
    <cacheField name="Reason For Question" numFmtId="0">
      <sharedItems containsBlank="1" longText="1"/>
    </cacheField>
    <cacheField name="Follow-up Inquiries" numFmtId="0">
      <sharedItems containsBlank="1" longText="1"/>
    </cacheField>
    <cacheField name="High Risk" numFmtId="0">
      <sharedItems containsBlank="1" count="5">
        <m/>
        <b v="1"/>
        <b v="0"/>
        <s v="FALSE"/>
        <s v="TRUE"/>
      </sharedItems>
    </cacheField>
    <cacheField name="Required" numFmtId="1">
      <sharedItems containsString="0" containsBlank="1" containsNumber="1" containsInteger="1" minValue="0" maxValue="1"/>
    </cacheField>
    <cacheField name="Category" numFmtId="0">
      <sharedItems containsBlank="1"/>
    </cacheField>
    <cacheField name="C_Answer" numFmtId="0">
      <sharedItems containsBlank="1"/>
    </cacheField>
    <cacheField name="V_Answer" numFmtId="0">
      <sharedItems containsBlank="1" containsMixedTypes="1" containsNumber="1" containsInteger="1" minValue="0" maxValue="0"/>
    </cacheField>
    <cacheField name="Analyst override answer" numFmtId="0">
      <sharedItems containsBlank="1"/>
    </cacheField>
    <cacheField name="Compliant" numFmtId="0">
      <sharedItems containsBlank="1" containsMixedTypes="1" containsNumber="1" containsInteger="1" minValue="0" maxValue="0" count="3">
        <m/>
        <n v="0"/>
        <e v="#N/A"/>
      </sharedItems>
    </cacheField>
    <cacheField name="Default Weight" numFmtId="0">
      <sharedItems containsString="0" containsBlank="1" containsNumber="1" containsInteger="1" minValue="0" maxValue="40"/>
    </cacheField>
    <cacheField name="Analyst Adjusted Weight" numFmtId="0">
      <sharedItems containsBlank="1"/>
    </cacheField>
    <cacheField name="Weight" numFmtId="0">
      <sharedItems containsString="0" containsBlank="1" containsNumber="1" containsInteger="1" minValue="0" maxValue="40"/>
    </cacheField>
    <cacheField name="Score" numFmtId="0">
      <sharedItems containsBlank="1" containsMixedTypes="1" containsNumber="1" containsInteger="1" minValue="0" maxValue="0"/>
    </cacheField>
    <cacheField name="CIS Critical Security Controls v6.1" numFmtId="0">
      <sharedItems containsBlank="1"/>
    </cacheField>
    <cacheField name="HIPAA" numFmtId="0">
      <sharedItems containsBlank="1" count="24">
        <m/>
        <s v="Discovery"/>
        <s v="§164.308(a)(1)(ii)(B)"/>
        <s v="§164.308(a)(4), _x000a_§164.312(a)(1), §164.312(a)(2)(i), _x000a_§164.312(d)"/>
        <s v="§164.308(a)(4), _x000a_§164.312(a)(1), §164.312(a)(2)(i),_x000a_§164.312(d)"/>
        <e v="#N/A"/>
        <s v="§164.308(a)(5)(i)"/>
        <s v="§164.316(b)(2)(iii)"/>
        <s v="§164.308(a)(2)"/>
        <s v="§164.308(a)(6)(i)"/>
        <s v="§164.308(a)(6)(ii)"/>
        <s v="§164.308(a)(1)(i)"/>
        <s v="§164.308(a)(5)(ii)(D)"/>
        <s v="§164.308(a)(4), §164.312(a)(2)(ii), _x000a_§164.312(a)(2)(iii)"/>
        <s v="§164.308(a)(4),_x000a_§164.312(a)(2)(ii), §164.312(a)(2)(iii)"/>
        <s v="§164.308(a)(4), _x000a_§164.312(d)"/>
        <s v="§164.308(a)(4), _x000a_§164.312(a)(1)"/>
        <s v="§ 164.308(a)(1)(ii)(D)"/>
        <s v="§164.312(b)"/>
        <s v="§164.312(a)(2)(ii)"/>
        <s v="§164.308(a)(7)(i)"/>
        <s v="§164.308(b)(2)"/>
        <s v="§164.308(b)(1),_x000a_§164.308(b)(3), §164.314(a)(1)(i)"/>
        <s v="§164.308(a)(3)(i), §164.308(b)(1), _x000a_§164.308(b)(3), §164.314(a)(1)(i)"/>
      </sharedItems>
    </cacheField>
    <cacheField name="ISO 27002:27013" numFmtId="0">
      <sharedItems containsBlank="1" containsMixedTypes="1" containsNumber="1" containsInteger="1" minValue="6" maxValue="16" count="55">
        <m/>
        <s v="18.1.1"/>
        <s v="17.1.2"/>
        <s v="15.2.1"/>
        <s v="15.1.3"/>
        <s v="9.1.2"/>
        <s v="9.2.6"/>
        <n v="9"/>
        <n v="10"/>
        <s v="11.2.6"/>
        <n v="6"/>
        <s v="9.1.1"/>
        <s v="12.5.1"/>
        <n v="16"/>
        <s v="12.1.1"/>
        <s v="12.1.4"/>
        <s v="9.2.3, 12.1.4"/>
        <s v="9.2.3, 9.3.1, 9.4.3"/>
        <s v="9.1.1, 9.2.3, 9.3.1, 9.4.3"/>
        <s v="9.4.3"/>
        <s v="6.2.1"/>
        <s v="12.6.1"/>
        <s v="17.1.3"/>
        <s v="7.2.2, 17.1.3"/>
        <s v="7.2.2, 16.1.1, 17.1.3"/>
        <s v="17.2.1"/>
        <s v="12.1.2"/>
        <s v="8.1.4"/>
        <s v="12.3.1"/>
        <s v="8.1.2"/>
        <s v="10.1.2"/>
        <s v="8.3.1"/>
        <s v="9.2.3"/>
        <s v="8.3.1, 18.1.1"/>
        <s v="14.2.5"/>
        <s v="10.1.1"/>
        <s v="11.1.1"/>
        <s v="13.1.2"/>
        <s v="11.1.1, 11.1.2"/>
        <e v="#N/A"/>
        <s v="11.1.4"/>
        <s v="17.1.1"/>
        <s v="7.1.3"/>
        <s v="12.4.1"/>
        <s v="8.2.1; 8.2.3"/>
        <s v="8.2.3"/>
        <s v="9.4.2"/>
        <s v="14.2.1"/>
        <s v="12.7.1, 18.2.1"/>
        <s v="13.1.1"/>
        <n v="13"/>
        <s v="18.2.1"/>
        <s v="18.1.1, 7.2.2"/>
        <s v="16.1.1"/>
        <s v="16.1.2, 16.1.5, 18.1.1"/>
      </sharedItems>
    </cacheField>
    <cacheField name="NIST Cybersecurity Framework" numFmtId="0">
      <sharedItems containsBlank="1" count="41">
        <m/>
        <s v="ID.GV-3"/>
        <s v="ID.AM-6, PR.AT-3"/>
        <s v="PR.IP-9"/>
        <s v="ID.AM-6, PR-AT-3"/>
        <s v="ID.AM-5"/>
        <s v="PR.AC-3, PR.MA-2"/>
        <s v="PR.AC-4, PR.PT-3"/>
        <s v="PR.PT-3"/>
        <s v="ID.AM-2"/>
        <s v="ID.AM-1, ID.AM-2, ID.AM-4"/>
        <s v="PR.AC-4"/>
        <s v="PR.AC-1"/>
        <s v="PR.AC-1, PR.AC-4"/>
        <s v="PR.IP-1"/>
        <s v="PR.IP-1, PR.IP-2"/>
        <s v="DE.CM-8"/>
        <s v="PR.IP-3"/>
        <s v="PR.IP-3, PR.DS-7"/>
        <s v="PR.DS-6"/>
        <s v="PR.AC-2, PR.IP-5"/>
        <s v="PR.IP-4"/>
        <s v="PR.DS-1, PR.IP-4"/>
        <s v="PR.DS-3"/>
        <s v="PR.DS-3, ID.GV-3"/>
        <s v="PR.DS-1"/>
        <s v="PR.DS-1, PR.DS-2"/>
        <s v="PR.AC-2"/>
        <s v="PR.AC-5"/>
        <e v="#N/A"/>
        <s v="PR.DS-4"/>
        <s v="DE.CM-1"/>
        <s v="DE.CM-1, DE.CM-2, DE.CM-7"/>
        <s v="DE.AE-1, DE.CM-1, PR.PT-4"/>
        <s v="DE.CM-7"/>
        <s v="DE.CM-7, PR.DS-2"/>
        <s v="DE.CM-7, PR.DS-1"/>
        <s v="DE.CM-7, DE.CM-8, ID.RA-1"/>
        <s v="PR.DS-5"/>
        <s v="PR.PT-4"/>
        <s v="ID.RA-1, DE.CM-8, PR.IP-12"/>
      </sharedItems>
    </cacheField>
    <cacheField name="NIST SP 800-171r1" numFmtId="0">
      <sharedItems containsBlank="1" count="51">
        <m/>
        <s v="ID.GV-3"/>
        <s v="ID.AM-6, PR.AT-3"/>
        <s v="PR.IP-9"/>
        <s v="3.8.2"/>
        <s v="3.1.2, 3.1.3"/>
        <s v="3.1.2"/>
        <s v="3.1.2, 3.1.19, 3.8.2"/>
        <s v="3.4.9"/>
        <s v="3.1.12, 3.1.13, 3.1.14, 3.1.14, 3.1.15, 3.1.8, 3.1.20, 3.7.5, 3.8.2, 3.13.7"/>
        <s v="3.1.4"/>
        <s v="3.1.1, 3.1.5, 3.1.6, 3.7.1, 3.7.2"/>
        <s v="3.5.6"/>
        <s v="3.5.7"/>
        <s v="3.5.5, 3.5.8"/>
        <s v="3.5.1"/>
        <s v="3.4.1, 3.4.2, 3.4.3"/>
        <s v="3.13.13"/>
        <s v="3.1.18, 3.7.1, 3.13.13"/>
        <s v="3.11.1, 3.11.2, 3.11.3"/>
        <s v="3.12.2"/>
        <s v="3.2.1, 3.2.2"/>
        <s v="3.4.3, 3.4.4"/>
        <s v="3.4.3, 3.4.4, 3.4.5"/>
        <s v="3.4.4"/>
        <s v="3.14.4"/>
        <s v="3.1.3, 3.8.1"/>
        <s v="3.1.22"/>
        <s v="3.8.1"/>
        <s v="3.8.9"/>
        <s v="3.13.10"/>
        <s v="3.8.1, 3.8.9"/>
        <s v="3.8.1, 3.8.5, 3.8.9"/>
        <s v="3.7.1, 3.7.2, 3.8.3"/>
        <s v="3.7.3, 3.8.3,"/>
        <s v="3.8.1, 3.8.2"/>
        <s v="3.1.3"/>
        <e v="#N/A"/>
        <s v="3.6.1, 3.14.6, 3.14.7"/>
        <s v="3.3.1"/>
        <s v="3.1.19"/>
        <s v="3.11.1, 3.11.2, 3.11.3, 3.14.2"/>
        <s v="3.2.2"/>
        <s v="3.6.1, 3.14.1"/>
        <s v="3.6.2, 3.12.2"/>
        <s v="3.5.9"/>
        <s v="3.1.8"/>
        <s v="3.1.10, 3.1.11"/>
        <s v="3.5.10"/>
        <s v="3.3.2"/>
        <s v="3.6.3, 3.12.2"/>
      </sharedItems>
    </cacheField>
    <cacheField name="NIST SP 800-53r4" numFmtId="0">
      <sharedItems containsBlank="1" count="48">
        <m/>
        <s v="RA-2"/>
        <s v="AU-7, AU-9, IR-4"/>
        <s v="CA-5, PL-2"/>
        <s v="SA-9"/>
        <s v="PE-2, PE-3, PE-5, PE-11, PE-13, PE-14, SA-9"/>
        <s v="PS-3"/>
        <s v="PS-5"/>
        <s v="AC-4"/>
        <s v="MP-2"/>
        <s v="AC-17; NIST SP 800-46"/>
        <s v="CM-11"/>
        <s v="AC-3, CM-7; NIST SP 800-46"/>
        <s v="CA-9, SC-4"/>
        <s v="AC-5"/>
        <s v="AC-2, AC-3, AC-6, MA-2, MA-3"/>
        <s v="IA-4"/>
        <s v="IA-5(1)"/>
        <s v="IA-2, IA-5"/>
        <s v="CM-2, CM-3, CM-6, CM-8"/>
        <s v="CM-2, CM-6, CM-3, AC-19, MA-2"/>
        <s v="SI-2"/>
        <s v="AU-7, AU-9, IR-4, AC-5, CP-4, CP-10; NIST SP 800-34"/>
        <s v="AT-3, AC-5, CP-4, CP-10; NIST SP 800-34"/>
        <s v="AC-5, CP-4, CP-10; NIST SP 800-34"/>
        <s v="CM-3, CM-4, CM-5"/>
        <s v="AC-4, MP-2, MP-4"/>
        <s v="AC-22"/>
        <s v="CP-9"/>
        <s v="SC-28, SC-13, FIPS PUB 140-2"/>
        <s v="CP-9, MP-5"/>
        <s v="CP-9 MP-6, NIST SP 800-60, NIST SP 800-88, AC-2, AC-6, IA-4, PM-2, PM-10, SI-5, MA-2, MA-3, MP-6"/>
        <s v="AC-2, AC-6, IA-4, PM-2, PM-10, SI-5, MA-2"/>
        <s v="SI-12, AC-2, AC-6, IA-4, PM-2, PM-10, SI-5, MA-2"/>
        <s v="AC-2, AC-6, IA-4, PM-2, PM-10, SI-5"/>
        <e v="#N/A"/>
        <s v="PE-2, PE-3, PE-5, PE-11, PE-13, PE-14"/>
        <s v="IR-2, IR-4, IR-5"/>
        <s v="AU-2"/>
        <s v="AC-19(5)"/>
        <s v="AT-3"/>
        <s v="IR-2, IR-4, IR-5, IR-7"/>
        <s v="IR-6"/>
        <s v="AC-7"/>
        <s v="AC-11, AC-11(1), AC-12"/>
        <s v="AU-2, AU-6, AU-12"/>
        <s v="AU-3"/>
        <s v="SA-3, SA-15, SC-2, PM-2, PM-10, SI-5,PM-3"/>
      </sharedItems>
    </cacheField>
    <cacheField name="PCI DSS" numFmtId="0">
      <sharedItems containsBlank="1" containsMixedTypes="1" containsNumber="1" minValue="1" maxValue="13" count="34">
        <m/>
        <n v="13"/>
        <n v="12"/>
        <s v="PCI Scope, Discovery"/>
        <s v="PCI Scope"/>
        <s v="12.1, Scope"/>
        <s v="7.x"/>
        <s v="12.8, 4.2"/>
        <n v="2"/>
        <s v="12.x"/>
        <s v="7.x, 8.x"/>
        <s v="8.x"/>
        <s v="2.1, 8.x"/>
        <n v="11"/>
        <s v="6.4, 6.4.5, 6.4.5.1, 6.4.5.2"/>
        <s v="6.4, 12.8, 12.9"/>
        <s v="12.1, 12.8"/>
        <s v="12.2, 12.8"/>
        <s v="12.1, 12.2, 12.8"/>
        <s v="12.10, 12.8, 6.4"/>
        <s v="12.8, 9.x"/>
        <s v="9.x"/>
        <e v="#N/A"/>
        <n v="1"/>
        <s v="11.4, 12.8"/>
        <s v="1.1, 10.8, 10.6, 10.3, 10.2, 11.4"/>
        <n v="4"/>
        <s v="11.2, 11.3"/>
        <s v="11.2, 12.8"/>
        <s v="12.10, 10.10"/>
        <s v="12.8, 12.5"/>
        <n v="10.7"/>
        <n v="12.1"/>
        <n v="12.8"/>
      </sharedItems>
    </cacheField>
    <cacheField name="Trusted CI" numFmtId="166">
      <sharedItems containsBlank="1" containsMixedTypes="1" containsNumber="1" minValue="1" maxValue="1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7">
  <r>
    <x v="0"/>
    <x v="0"/>
    <x v="0"/>
    <m/>
    <m/>
    <m/>
    <m/>
    <m/>
    <x v="0"/>
    <m/>
    <m/>
    <m/>
    <m/>
    <m/>
    <x v="0"/>
    <m/>
    <m/>
    <m/>
    <m/>
    <m/>
    <x v="0"/>
    <x v="0"/>
    <x v="0"/>
    <x v="0"/>
    <x v="0"/>
    <x v="0"/>
    <m/>
  </r>
  <r>
    <x v="1"/>
    <x v="1"/>
    <x v="0"/>
    <m/>
    <m/>
    <m/>
    <m/>
    <m/>
    <x v="0"/>
    <m/>
    <m/>
    <m/>
    <m/>
    <m/>
    <x v="0"/>
    <m/>
    <m/>
    <m/>
    <m/>
    <m/>
    <x v="0"/>
    <x v="0"/>
    <x v="0"/>
    <x v="0"/>
    <x v="0"/>
    <x v="0"/>
    <m/>
  </r>
  <r>
    <x v="2"/>
    <x v="2"/>
    <x v="0"/>
    <m/>
    <m/>
    <m/>
    <m/>
    <m/>
    <x v="0"/>
    <m/>
    <m/>
    <m/>
    <m/>
    <m/>
    <x v="0"/>
    <m/>
    <m/>
    <m/>
    <m/>
    <m/>
    <x v="0"/>
    <x v="0"/>
    <x v="0"/>
    <x v="0"/>
    <x v="0"/>
    <x v="0"/>
    <m/>
  </r>
  <r>
    <x v="3"/>
    <x v="3"/>
    <x v="0"/>
    <m/>
    <m/>
    <m/>
    <m/>
    <m/>
    <x v="0"/>
    <m/>
    <m/>
    <m/>
    <m/>
    <m/>
    <x v="0"/>
    <m/>
    <m/>
    <m/>
    <m/>
    <m/>
    <x v="0"/>
    <x v="0"/>
    <x v="0"/>
    <x v="0"/>
    <x v="0"/>
    <x v="0"/>
    <m/>
  </r>
  <r>
    <x v="4"/>
    <x v="4"/>
    <x v="0"/>
    <m/>
    <m/>
    <m/>
    <m/>
    <m/>
    <x v="0"/>
    <m/>
    <m/>
    <m/>
    <m/>
    <m/>
    <x v="0"/>
    <m/>
    <m/>
    <m/>
    <m/>
    <m/>
    <x v="0"/>
    <x v="0"/>
    <x v="0"/>
    <x v="0"/>
    <x v="0"/>
    <x v="0"/>
    <m/>
  </r>
  <r>
    <x v="5"/>
    <x v="5"/>
    <x v="0"/>
    <m/>
    <m/>
    <m/>
    <m/>
    <m/>
    <x v="0"/>
    <m/>
    <m/>
    <m/>
    <m/>
    <m/>
    <x v="0"/>
    <m/>
    <m/>
    <m/>
    <m/>
    <m/>
    <x v="0"/>
    <x v="0"/>
    <x v="0"/>
    <x v="0"/>
    <x v="0"/>
    <x v="0"/>
    <m/>
  </r>
  <r>
    <x v="6"/>
    <x v="6"/>
    <x v="0"/>
    <m/>
    <m/>
    <m/>
    <m/>
    <m/>
    <x v="0"/>
    <m/>
    <m/>
    <m/>
    <m/>
    <m/>
    <x v="0"/>
    <m/>
    <m/>
    <m/>
    <m/>
    <m/>
    <x v="0"/>
    <x v="0"/>
    <x v="0"/>
    <x v="0"/>
    <x v="0"/>
    <x v="0"/>
    <m/>
  </r>
  <r>
    <x v="7"/>
    <x v="7"/>
    <x v="0"/>
    <m/>
    <m/>
    <m/>
    <m/>
    <m/>
    <x v="0"/>
    <m/>
    <m/>
    <m/>
    <m/>
    <m/>
    <x v="0"/>
    <m/>
    <m/>
    <m/>
    <m/>
    <m/>
    <x v="0"/>
    <x v="0"/>
    <x v="0"/>
    <x v="0"/>
    <x v="0"/>
    <x v="0"/>
    <m/>
  </r>
  <r>
    <x v="8"/>
    <x v="8"/>
    <x v="0"/>
    <m/>
    <m/>
    <m/>
    <m/>
    <m/>
    <x v="0"/>
    <m/>
    <m/>
    <m/>
    <m/>
    <m/>
    <x v="0"/>
    <m/>
    <m/>
    <m/>
    <m/>
    <m/>
    <x v="0"/>
    <x v="0"/>
    <x v="0"/>
    <x v="0"/>
    <x v="0"/>
    <x v="0"/>
    <m/>
  </r>
  <r>
    <x v="9"/>
    <x v="9"/>
    <x v="0"/>
    <m/>
    <m/>
    <m/>
    <m/>
    <m/>
    <x v="0"/>
    <m/>
    <m/>
    <m/>
    <m/>
    <m/>
    <x v="0"/>
    <m/>
    <m/>
    <m/>
    <m/>
    <m/>
    <x v="0"/>
    <x v="0"/>
    <x v="0"/>
    <x v="0"/>
    <x v="0"/>
    <x v="0"/>
    <m/>
  </r>
  <r>
    <x v="10"/>
    <x v="10"/>
    <x v="0"/>
    <m/>
    <m/>
    <m/>
    <m/>
    <m/>
    <x v="0"/>
    <m/>
    <m/>
    <m/>
    <m/>
    <m/>
    <x v="0"/>
    <m/>
    <m/>
    <m/>
    <m/>
    <m/>
    <x v="0"/>
    <x v="0"/>
    <x v="0"/>
    <x v="0"/>
    <x v="0"/>
    <x v="0"/>
    <m/>
  </r>
  <r>
    <x v="11"/>
    <x v="11"/>
    <x v="0"/>
    <m/>
    <m/>
    <m/>
    <m/>
    <m/>
    <x v="0"/>
    <m/>
    <m/>
    <m/>
    <m/>
    <m/>
    <x v="0"/>
    <m/>
    <m/>
    <m/>
    <m/>
    <m/>
    <x v="0"/>
    <x v="0"/>
    <x v="0"/>
    <x v="0"/>
    <x v="0"/>
    <x v="0"/>
    <m/>
  </r>
  <r>
    <x v="12"/>
    <x v="12"/>
    <x v="0"/>
    <m/>
    <m/>
    <m/>
    <m/>
    <m/>
    <x v="0"/>
    <m/>
    <m/>
    <m/>
    <m/>
    <m/>
    <x v="0"/>
    <m/>
    <m/>
    <m/>
    <m/>
    <m/>
    <x v="0"/>
    <x v="0"/>
    <x v="0"/>
    <x v="0"/>
    <x v="0"/>
    <x v="0"/>
    <m/>
  </r>
  <r>
    <x v="13"/>
    <x v="13"/>
    <x v="0"/>
    <m/>
    <m/>
    <m/>
    <m/>
    <m/>
    <x v="0"/>
    <m/>
    <m/>
    <m/>
    <m/>
    <m/>
    <x v="0"/>
    <m/>
    <m/>
    <m/>
    <m/>
    <m/>
    <x v="0"/>
    <x v="0"/>
    <x v="0"/>
    <x v="0"/>
    <x v="0"/>
    <x v="0"/>
    <m/>
  </r>
  <r>
    <x v="14"/>
    <x v="14"/>
    <x v="0"/>
    <m/>
    <m/>
    <m/>
    <m/>
    <m/>
    <x v="0"/>
    <m/>
    <m/>
    <m/>
    <m/>
    <m/>
    <x v="0"/>
    <m/>
    <m/>
    <m/>
    <m/>
    <m/>
    <x v="0"/>
    <x v="0"/>
    <x v="0"/>
    <x v="0"/>
    <x v="0"/>
    <x v="0"/>
    <m/>
  </r>
  <r>
    <x v="15"/>
    <x v="15"/>
    <x v="0"/>
    <s v="Standard Guidance"/>
    <s v="Yes Guidance"/>
    <s v="No Guidance"/>
    <s v="This qualifier determines the presence of PHI in the solution and sets the HIPAA section as required appropriately."/>
    <s v="Reference the HIPAA section for follow-up review."/>
    <x v="1"/>
    <n v="1"/>
    <s v="Qualifiers"/>
    <s v="Yes"/>
    <n v="0"/>
    <s v=""/>
    <x v="1"/>
    <n v="10"/>
    <s v=""/>
    <n v="10"/>
    <n v="0"/>
    <s v="CSC 13"/>
    <x v="1"/>
    <x v="1"/>
    <x v="1"/>
    <x v="1"/>
    <x v="1"/>
    <x v="0"/>
    <s v=""/>
  </r>
  <r>
    <x v="16"/>
    <x v="16"/>
    <x v="0"/>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Vendors oftentimes use other vendors to supplement and/or host their infrastructures and it is important to know what, if any, institutional data is shared with fourth-parties. Responses to this qualifier set the response requirement for the Third Parties section."/>
    <s v="Reference the Third Parties section for follow-up review."/>
    <x v="1"/>
    <n v="1"/>
    <s v="Qualifiers"/>
    <s v="No"/>
    <n v="0"/>
    <s v=""/>
    <x v="1"/>
    <n v="10"/>
    <s v=""/>
    <n v="10"/>
    <n v="0"/>
    <s v="CSC 13"/>
    <x v="0"/>
    <x v="0"/>
    <x v="2"/>
    <x v="2"/>
    <x v="0"/>
    <x v="1"/>
    <n v="13"/>
  </r>
  <r>
    <x v="17"/>
    <x v="17"/>
    <x v="0"/>
    <s v=" "/>
    <s v="Briefly summarize your response."/>
    <s v="Provide a reference to your BCP and supporting documentation or submit it along with this fully-populated HECVAT."/>
    <s v="This qualifier determines the existence of a complete, fully-populated BCP, maintained by the vendor, and sets the Business Continuity Plan section as required appropriately."/>
    <s v="Reference the Business Continuity Plan section for follow-up review."/>
    <x v="1"/>
    <n v="1"/>
    <s v="Qualifiers"/>
    <s v="Yes"/>
    <n v="0"/>
    <s v=""/>
    <x v="1"/>
    <n v="10"/>
    <s v=""/>
    <n v="10"/>
    <n v="0"/>
    <s v="CSC 10"/>
    <x v="0"/>
    <x v="2"/>
    <x v="3"/>
    <x v="3"/>
    <x v="2"/>
    <x v="2"/>
    <n v="12"/>
  </r>
  <r>
    <x v="18"/>
    <x v="18"/>
    <x v="0"/>
    <s v=" "/>
    <s v="Briefly summarize your response."/>
    <s v="Provide a reference to your DRP and supporting documentation or submit it along with this fully-populated HECVAT."/>
    <s v="This qualifier determines the existence of a complete, fully-populated DRP, maintained by the vendor, and sets the Business Continuity Plan section as required appropriately."/>
    <s v="Reference the Disaster Recovery Plan section for follow-up review."/>
    <x v="1"/>
    <n v="1"/>
    <s v="Qualifiers"/>
    <s v="Yes"/>
    <n v="0"/>
    <s v=""/>
    <x v="1"/>
    <m/>
    <s v=""/>
    <n v="0"/>
    <n v="0"/>
    <m/>
    <x v="0"/>
    <x v="0"/>
    <x v="0"/>
    <x v="0"/>
    <x v="0"/>
    <x v="0"/>
    <s v=""/>
  </r>
  <r>
    <x v="19"/>
    <x v="19"/>
    <x v="0"/>
    <s v="Answer yes if your product handles PCI (Credit Card) information, either directly or via a third party"/>
    <m/>
    <s v="Based on your 'Yes' response, you are required to fill out the PCI DSS section."/>
    <s v="This qualifier determines the presence of PCI DSS in the solution and sets the PCI DSS section as required appropriately."/>
    <s v="Reference the PCI DSS section for follow-up review."/>
    <x v="1"/>
    <n v="1"/>
    <s v="Qualifiers"/>
    <s v="No"/>
    <n v="0"/>
    <s v=""/>
    <x v="1"/>
    <n v="10"/>
    <s v=""/>
    <n v="10"/>
    <n v="0"/>
    <s v="CSC 10"/>
    <x v="0"/>
    <x v="2"/>
    <x v="3"/>
    <x v="3"/>
    <x v="3"/>
    <x v="2"/>
    <n v="12"/>
  </r>
  <r>
    <x v="20"/>
    <x v="20"/>
    <x v="0"/>
    <s v=" "/>
    <s v="Yes Guidance"/>
    <s v="No Guidance"/>
    <s v="When consultants are given access to a system containing institutional data, the &quot;sharing&quot; of data is not in the same context as traditional data sharing (i.e. hosting, etc.) and thus, many of the HECVAT questions do not apply. When consultants have access to a system (onsite of via remote affiliate-type accounts), the Consulting section is most relevant."/>
    <s v="Reference the Consulting section for follow-up review."/>
    <x v="2"/>
    <n v="1"/>
    <s v="Qualifiers"/>
    <s v="Yes"/>
    <n v="0"/>
    <s v=""/>
    <x v="1"/>
    <n v="10"/>
    <s v=""/>
    <n v="10"/>
    <n v="0"/>
    <s v="CSC 13"/>
    <x v="0"/>
    <x v="1"/>
    <x v="1"/>
    <x v="1"/>
    <x v="1"/>
    <x v="3"/>
    <s v="PCI Scope, Discovery"/>
  </r>
  <r>
    <x v="21"/>
    <x v="21"/>
    <x v="0"/>
    <s v="If you are using an option not listed, or a combination of options, select &quot;Other&quot;"/>
    <s v=" "/>
    <s v=" "/>
    <m/>
    <m/>
    <x v="0"/>
    <n v="1"/>
    <s v="Qualifiers"/>
    <s v="Yes"/>
    <s v=""/>
    <s v=""/>
    <x v="1"/>
    <n v="10"/>
    <s v=""/>
    <n v="10"/>
    <n v="0"/>
    <s v="CSC 14"/>
    <x v="0"/>
    <x v="0"/>
    <x v="0"/>
    <x v="0"/>
    <x v="0"/>
    <x v="4"/>
    <s v="PCI Scope"/>
  </r>
  <r>
    <x v="22"/>
    <x v="22"/>
    <x v="0"/>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3"/>
    <n v="1"/>
    <s v="Company"/>
    <s v="Yes"/>
    <n v="0"/>
    <s v=""/>
    <x v="1"/>
    <n v="15"/>
    <s v=""/>
    <n v="15"/>
    <n v="0"/>
    <m/>
    <x v="0"/>
    <x v="3"/>
    <x v="0"/>
    <x v="0"/>
    <x v="4"/>
    <x v="0"/>
    <s v=""/>
  </r>
  <r>
    <x v="23"/>
    <x v="23"/>
    <x v="0"/>
    <s v=" "/>
    <s v=" "/>
    <s v="Provide a detailed summary of the unplanned disruption."/>
    <s v="We want transparency from the vendor and an honest answer to this question, regardless of the response, is a good step in building trust."/>
    <s v="If a vendor says &quot;No&quot;, it is taken at face value. If you organization is capable of conducting reconnaissance, it is encouraged. If a vendor has experienced a breach, evaluate the circumstance of the incident and what the vendor has done in response to the breach."/>
    <x v="3"/>
    <n v="1"/>
    <s v="Company"/>
    <s v="Yes"/>
    <n v="0"/>
    <s v=""/>
    <x v="1"/>
    <n v="10"/>
    <s v=""/>
    <n v="10"/>
    <n v="0"/>
    <m/>
    <x v="0"/>
    <x v="3"/>
    <x v="0"/>
    <x v="0"/>
    <x v="5"/>
    <x v="0"/>
    <s v=""/>
  </r>
  <r>
    <x v="24"/>
    <x v="24"/>
    <x v="0"/>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3"/>
    <n v="1"/>
    <s v="Company"/>
    <s v="Yes"/>
    <n v="0"/>
    <s v=""/>
    <x v="1"/>
    <n v="15"/>
    <s v=""/>
    <n v="15"/>
    <n v="0"/>
    <m/>
    <x v="0"/>
    <x v="3"/>
    <x v="0"/>
    <x v="0"/>
    <x v="5"/>
    <x v="0"/>
    <s v=""/>
  </r>
  <r>
    <x v="25"/>
    <x v="25"/>
    <x v="0"/>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4"/>
    <n v="1"/>
    <s v="Company"/>
    <s v="Yes"/>
    <n v="0"/>
    <s v=""/>
    <x v="1"/>
    <n v="25"/>
    <s v=""/>
    <n v="25"/>
    <n v="0"/>
    <m/>
    <x v="0"/>
    <x v="1"/>
    <x v="0"/>
    <x v="0"/>
    <x v="4"/>
    <x v="5"/>
    <s v="12.1, Scope"/>
  </r>
  <r>
    <x v="26"/>
    <x v="26"/>
    <x v="0"/>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3"/>
    <n v="1"/>
    <s v="Company"/>
    <s v="Yes"/>
    <n v="0"/>
    <s v=""/>
    <x v="1"/>
    <n v="15"/>
    <s v=""/>
    <n v="15"/>
    <n v="0"/>
    <m/>
    <x v="0"/>
    <x v="1"/>
    <x v="0"/>
    <x v="0"/>
    <x v="4"/>
    <x v="0"/>
    <s v=""/>
  </r>
  <r>
    <x v="27"/>
    <x v="27"/>
    <x v="1"/>
    <s v=" "/>
    <s v="Describe any plans to undergo a SSAE 18 audit."/>
    <s v="Provide the date of assessment and include a SOC 2 Type 2 (preferred) or SOC 3 report. If you have a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3"/>
    <n v="1"/>
    <s v="Documentation"/>
    <s v="Yes"/>
    <n v="0"/>
    <s v=""/>
    <x v="1"/>
    <n v="20"/>
    <s v=""/>
    <n v="20"/>
    <n v="0"/>
    <s v="CSC 13"/>
    <x v="0"/>
    <x v="4"/>
    <x v="4"/>
    <x v="4"/>
    <x v="0"/>
    <x v="1"/>
    <n v="13"/>
  </r>
  <r>
    <x v="28"/>
    <x v="28"/>
    <x v="1"/>
    <s v=" "/>
    <s v="Describe any plans to complete the CSA self assessment or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3"/>
    <n v="1"/>
    <s v="Documentation"/>
    <s v="Yes"/>
    <n v="0"/>
    <s v=""/>
    <x v="1"/>
    <n v="20"/>
    <s v=""/>
    <n v="20"/>
    <n v="0"/>
    <s v="CSC 13"/>
    <x v="0"/>
    <x v="4"/>
    <x v="1"/>
    <x v="0"/>
    <x v="6"/>
    <x v="1"/>
    <n v="13"/>
  </r>
  <r>
    <x v="29"/>
    <x v="29"/>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3"/>
    <n v="1"/>
    <s v="Documentation"/>
    <s v="Yes"/>
    <n v="0"/>
    <s v=""/>
    <x v="1"/>
    <n v="20"/>
    <s v=""/>
    <n v="20"/>
    <n v="0"/>
    <m/>
    <x v="0"/>
    <x v="4"/>
    <x v="2"/>
    <x v="0"/>
    <x v="7"/>
    <x v="1"/>
    <n v="13"/>
  </r>
  <r>
    <x v="30"/>
    <x v="30"/>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3"/>
    <n v="1"/>
    <s v="Documentation"/>
    <s v="Yes"/>
    <n v="0"/>
    <s v=""/>
    <x v="1"/>
    <n v="20"/>
    <s v=""/>
    <n v="20"/>
    <n v="0"/>
    <m/>
    <x v="0"/>
    <x v="3"/>
    <x v="2"/>
    <x v="0"/>
    <x v="0"/>
    <x v="0"/>
    <s v=""/>
  </r>
  <r>
    <x v="31"/>
    <x v="31"/>
    <x v="1"/>
    <s v=" "/>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3"/>
    <n v="1"/>
    <s v="Documentation"/>
    <s v="Yes"/>
    <n v="0"/>
    <s v=""/>
    <x v="1"/>
    <n v="20"/>
    <s v=""/>
    <n v="20"/>
    <n v="0"/>
    <s v="CSC 14"/>
    <x v="0"/>
    <x v="5"/>
    <x v="2"/>
    <x v="5"/>
    <x v="8"/>
    <x v="0"/>
    <s v=""/>
  </r>
  <r>
    <x v="32"/>
    <x v="32"/>
    <x v="1"/>
    <s v=" "/>
    <s v="Provide a detailed summary of overall system and/or application architecture."/>
    <s v="Provide your diagrams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3"/>
    <n v="1"/>
    <s v="Documentation"/>
    <s v="Yes"/>
    <n v="0"/>
    <s v=""/>
    <x v="1"/>
    <n v="20"/>
    <s v=""/>
    <n v="20"/>
    <n v="0"/>
    <s v="CSC 14"/>
    <x v="0"/>
    <x v="6"/>
    <x v="2"/>
    <x v="6"/>
    <x v="0"/>
    <x v="0"/>
    <s v=""/>
  </r>
  <r>
    <x v="33"/>
    <x v="33"/>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3"/>
    <m/>
    <s v="Documentation"/>
    <s v="Yes"/>
    <n v="0"/>
    <s v=""/>
    <x v="1"/>
    <n v="20"/>
    <s v=""/>
    <n v="0"/>
    <n v="0"/>
    <s v="CSC 14"/>
    <x v="0"/>
    <x v="0"/>
    <x v="2"/>
    <x v="0"/>
    <x v="0"/>
    <x v="0"/>
    <s v=""/>
  </r>
  <r>
    <x v="34"/>
    <x v="34"/>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3"/>
    <m/>
    <s v="Documentation"/>
    <s v="Yes"/>
    <n v="0"/>
    <s v=""/>
    <x v="1"/>
    <n v="20"/>
    <s v=""/>
    <n v="0"/>
    <n v="0"/>
    <s v="CSC 13"/>
    <x v="0"/>
    <x v="1"/>
    <x v="2"/>
    <x v="0"/>
    <x v="0"/>
    <x v="0"/>
    <s v=""/>
  </r>
  <r>
    <x v="35"/>
    <x v="35"/>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3"/>
    <m/>
    <s v="Documentation"/>
    <s v="Yes"/>
    <n v="0"/>
    <s v=""/>
    <x v="1"/>
    <n v="20"/>
    <s v=""/>
    <n v="0"/>
    <n v="0"/>
    <s v="CSC 13"/>
    <x v="0"/>
    <x v="7"/>
    <x v="2"/>
    <x v="4"/>
    <x v="9"/>
    <x v="0"/>
    <s v=""/>
  </r>
  <r>
    <x v="36"/>
    <x v="36"/>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3"/>
    <m/>
    <s v="Documentation"/>
    <s v="Yes"/>
    <n v="0"/>
    <s v=""/>
    <x v="1"/>
    <n v="20"/>
    <s v=""/>
    <n v="0"/>
    <n v="0"/>
    <s v="CSC 13"/>
    <x v="0"/>
    <x v="8"/>
    <x v="2"/>
    <x v="7"/>
    <x v="9"/>
    <x v="0"/>
    <s v=""/>
  </r>
  <r>
    <x v="37"/>
    <x v="37"/>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m/>
    <x v="3"/>
    <m/>
    <s v="Documentation"/>
    <s v="Yes"/>
    <n v="0"/>
    <s v=""/>
    <x v="1"/>
    <m/>
    <s v=""/>
    <n v="0"/>
    <n v="0"/>
    <s v="CSC 14"/>
    <x v="0"/>
    <x v="7"/>
    <x v="2"/>
    <x v="0"/>
    <x v="0"/>
    <x v="0"/>
    <m/>
  </r>
  <r>
    <x v="38"/>
    <x v="38"/>
    <x v="0"/>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TBD"/>
    <x v="3"/>
    <n v="1"/>
    <s v="IT Accessibility"/>
    <s v="Yes"/>
    <n v="0"/>
    <s v=""/>
    <x v="1"/>
    <n v="20"/>
    <s v=""/>
    <n v="20"/>
    <n v="0"/>
    <m/>
    <x v="0"/>
    <x v="7"/>
    <x v="2"/>
    <x v="0"/>
    <x v="0"/>
    <x v="0"/>
    <s v=""/>
  </r>
  <r>
    <x v="39"/>
    <x v="39"/>
    <x v="0"/>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TBD"/>
    <x v="3"/>
    <n v="1"/>
    <s v="IT Accessibility"/>
    <s v="Yes"/>
    <n v="0"/>
    <s v=""/>
    <x v="1"/>
    <n v="20"/>
    <s v=""/>
    <n v="20"/>
    <n v="0"/>
    <s v="CSC 18"/>
    <x v="0"/>
    <x v="0"/>
    <x v="5"/>
    <x v="0"/>
    <x v="0"/>
    <x v="0"/>
    <s v=""/>
  </r>
  <r>
    <x v="40"/>
    <x v="40"/>
    <x v="0"/>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TBD"/>
    <x v="3"/>
    <n v="1"/>
    <s v="IT Accessibility"/>
    <s v="Yes"/>
    <n v="0"/>
    <s v=""/>
    <x v="1"/>
    <n v="20"/>
    <s v=""/>
    <n v="20"/>
    <n v="0"/>
    <s v="CSC 2, CSC 3"/>
    <x v="0"/>
    <x v="9"/>
    <x v="5"/>
    <x v="0"/>
    <x v="0"/>
    <x v="0"/>
    <s v=""/>
  </r>
  <r>
    <x v="41"/>
    <x v="41"/>
    <x v="0"/>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TBD"/>
    <x v="3"/>
    <n v="1"/>
    <s v="IT Accessibility"/>
    <s v="Yes"/>
    <n v="0"/>
    <s v=""/>
    <x v="1"/>
    <n v="20"/>
    <s v=""/>
    <n v="20"/>
    <n v="0"/>
    <s v="CSC 14"/>
    <x v="0"/>
    <x v="10"/>
    <x v="6"/>
    <x v="6"/>
    <x v="10"/>
    <x v="6"/>
    <s v="7.x"/>
  </r>
  <r>
    <x v="42"/>
    <x v="42"/>
    <x v="0"/>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TBD"/>
    <x v="3"/>
    <n v="1"/>
    <s v="IT Accessibility"/>
    <s v="Yes"/>
    <n v="0"/>
    <s v=""/>
    <x v="1"/>
    <n v="20"/>
    <s v=""/>
    <n v="20"/>
    <n v="0"/>
    <s v="CSC16"/>
    <x v="0"/>
    <x v="11"/>
    <x v="7"/>
    <x v="8"/>
    <x v="11"/>
    <x v="6"/>
    <s v="7.x"/>
  </r>
  <r>
    <x v="43"/>
    <x v="43"/>
    <x v="0"/>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TBD"/>
    <x v="3"/>
    <n v="1"/>
    <s v="IT Accessibility"/>
    <s v="Yes"/>
    <n v="0"/>
    <s v=""/>
    <x v="1"/>
    <n v="20"/>
    <s v=""/>
    <n v="20"/>
    <n v="0"/>
    <s v="CSC 18"/>
    <x v="0"/>
    <x v="0"/>
    <x v="5"/>
    <x v="0"/>
    <x v="0"/>
    <x v="0"/>
    <s v=""/>
  </r>
  <r>
    <x v="44"/>
    <x v="44"/>
    <x v="0"/>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TBD"/>
    <x v="3"/>
    <n v="1"/>
    <s v="IT Accessibility"/>
    <s v="No"/>
    <n v="0"/>
    <s v=""/>
    <x v="1"/>
    <n v="20"/>
    <s v=""/>
    <n v="20"/>
    <n v="0"/>
    <s v="CSC 12"/>
    <x v="0"/>
    <x v="10"/>
    <x v="8"/>
    <x v="9"/>
    <x v="12"/>
    <x v="0"/>
    <s v=""/>
  </r>
  <r>
    <x v="45"/>
    <x v="45"/>
    <x v="0"/>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TBD"/>
    <x v="3"/>
    <n v="1"/>
    <s v="IT Accessibility"/>
    <s v="Yes"/>
    <n v="0"/>
    <s v=""/>
    <x v="1"/>
    <n v="20"/>
    <s v=""/>
    <n v="20"/>
    <n v="0"/>
    <s v="CSC 2"/>
    <x v="0"/>
    <x v="12"/>
    <x v="8"/>
    <x v="0"/>
    <x v="10"/>
    <x v="0"/>
    <s v=""/>
  </r>
  <r>
    <x v="46"/>
    <x v="46"/>
    <x v="0"/>
    <s v=" "/>
    <s v=" "/>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TBD"/>
    <x v="3"/>
    <n v="1"/>
    <s v="IT Accessibility"/>
    <s v="No"/>
    <n v="0"/>
    <s v=""/>
    <x v="1"/>
    <n v="20"/>
    <s v=""/>
    <n v="20"/>
    <n v="0"/>
    <m/>
    <x v="0"/>
    <x v="13"/>
    <x v="0"/>
    <x v="0"/>
    <x v="0"/>
    <x v="7"/>
    <s v="12.8, 4.2"/>
  </r>
  <r>
    <x v="47"/>
    <x v="47"/>
    <x v="0"/>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4"/>
    <n v="1"/>
    <s v="Third-Parties"/>
    <s v="Yes"/>
    <n v="0"/>
    <s v=""/>
    <x v="1"/>
    <n v="25"/>
    <s v=""/>
    <n v="25"/>
    <n v="0"/>
    <s v="CSC 2"/>
    <x v="0"/>
    <x v="12"/>
    <x v="9"/>
    <x v="0"/>
    <x v="0"/>
    <x v="0"/>
    <s v=""/>
  </r>
  <r>
    <x v="48"/>
    <x v="48"/>
    <x v="0"/>
    <s v=" "/>
    <s v=" "/>
    <s v=" "/>
    <m/>
    <m/>
    <x v="4"/>
    <n v="1"/>
    <s v="Third-Parties"/>
    <s v="Yes"/>
    <n v="0"/>
    <s v=""/>
    <x v="1"/>
    <n v="25"/>
    <s v=""/>
    <n v="25"/>
    <n v="0"/>
    <s v="CSC 2"/>
    <x v="0"/>
    <x v="14"/>
    <x v="10"/>
    <x v="0"/>
    <x v="13"/>
    <x v="8"/>
    <n v="2"/>
  </r>
  <r>
    <x v="49"/>
    <x v="49"/>
    <x v="0"/>
    <s v=" "/>
    <s v=" "/>
    <s v=" "/>
    <m/>
    <m/>
    <x v="4"/>
    <n v="1"/>
    <s v="Third-Parties"/>
    <s v="No"/>
    <n v="0"/>
    <s v=""/>
    <x v="1"/>
    <n v="25"/>
    <s v=""/>
    <n v="25"/>
    <n v="0"/>
    <s v="CSC 13"/>
    <x v="0"/>
    <x v="15"/>
    <x v="0"/>
    <x v="0"/>
    <x v="0"/>
    <x v="0"/>
    <s v=""/>
  </r>
  <r>
    <x v="50"/>
    <x v="50"/>
    <x v="0"/>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If &quot;No&quot;, inquiry if there are plans to implement these processes. Ask the vendor to summarize their decision behind not scanning their assets for vulnerabilities. Be sure that the vendor answers for both systems AND applications. Do not let good practices in one overshadow deficiencies in the other."/>
    <x v="4"/>
    <n v="1"/>
    <s v="Third-Parties"/>
    <s v="Yes"/>
    <n v="0"/>
    <s v=""/>
    <x v="1"/>
    <n v="25"/>
    <s v=""/>
    <n v="25"/>
    <n v="0"/>
    <s v="CSC 7"/>
    <x v="0"/>
    <x v="14"/>
    <x v="0"/>
    <x v="0"/>
    <x v="0"/>
    <x v="0"/>
    <s v=""/>
  </r>
  <r>
    <x v="51"/>
    <x v="51"/>
    <x v="0"/>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3"/>
    <m/>
    <m/>
    <s v="No"/>
    <n v="0"/>
    <s v=""/>
    <x v="1"/>
    <n v="20"/>
    <s v=""/>
    <n v="0"/>
    <n v="0"/>
    <s v="CSC 7"/>
    <x v="0"/>
    <x v="12"/>
    <x v="0"/>
    <x v="0"/>
    <x v="0"/>
    <x v="0"/>
    <e v="#N/A"/>
  </r>
  <r>
    <x v="52"/>
    <x v="52"/>
    <x v="0"/>
    <s v=" "/>
    <s v=" "/>
    <s v=" "/>
    <m/>
    <m/>
    <x v="3"/>
    <n v="1"/>
    <s v="Consulting"/>
    <s v="No"/>
    <n v="0"/>
    <s v=""/>
    <x v="1"/>
    <n v="20"/>
    <s v=""/>
    <n v="20"/>
    <n v="0"/>
    <s v="CSC 2"/>
    <x v="0"/>
    <x v="0"/>
    <x v="0"/>
    <x v="0"/>
    <x v="0"/>
    <x v="0"/>
    <s v=""/>
  </r>
  <r>
    <x v="53"/>
    <x v="53"/>
    <x v="0"/>
    <s v=" "/>
    <s v=" "/>
    <s v=" "/>
    <m/>
    <m/>
    <x v="4"/>
    <n v="1"/>
    <s v="Consulting"/>
    <s v="No"/>
    <n v="0"/>
    <s v=""/>
    <x v="1"/>
    <n v="25"/>
    <s v=""/>
    <n v="25"/>
    <n v="0"/>
    <s v="CSC 14"/>
    <x v="0"/>
    <x v="16"/>
    <x v="7"/>
    <x v="10"/>
    <x v="14"/>
    <x v="9"/>
    <s v="12.x"/>
  </r>
  <r>
    <x v="54"/>
    <x v="54"/>
    <x v="0"/>
    <s v=" "/>
    <s v=" "/>
    <s v=" "/>
    <m/>
    <m/>
    <x v="3"/>
    <n v="1"/>
    <s v="Consulting"/>
    <s v="Yes"/>
    <n v="0"/>
    <s v=""/>
    <x v="1"/>
    <n v="20"/>
    <s v=""/>
    <n v="20"/>
    <n v="0"/>
    <s v="CSC 5"/>
    <x v="0"/>
    <x v="7"/>
    <x v="7"/>
    <x v="11"/>
    <x v="15"/>
    <x v="10"/>
    <s v="7.x, 8.x"/>
  </r>
  <r>
    <x v="55"/>
    <x v="55"/>
    <x v="0"/>
    <s v=" "/>
    <s v=" "/>
    <s v=" "/>
    <m/>
    <m/>
    <x v="3"/>
    <n v="1"/>
    <s v="Consulting"/>
    <s v="No"/>
    <n v="0"/>
    <s v=""/>
    <x v="1"/>
    <n v="20"/>
    <s v=""/>
    <n v="20"/>
    <n v="0"/>
    <s v="CSC 14"/>
    <x v="0"/>
    <x v="11"/>
    <x v="11"/>
    <x v="6"/>
    <x v="0"/>
    <x v="0"/>
    <s v=""/>
  </r>
  <r>
    <x v="56"/>
    <x v="56"/>
    <x v="0"/>
    <s v=" "/>
    <s v=" "/>
    <s v=" "/>
    <m/>
    <m/>
    <x v="4"/>
    <n v="1"/>
    <s v="Consulting"/>
    <s v="Yes"/>
    <n v="0"/>
    <s v=""/>
    <x v="1"/>
    <n v="25"/>
    <s v=""/>
    <n v="25"/>
    <n v="0"/>
    <s v="CSC 16"/>
    <x v="0"/>
    <x v="17"/>
    <x v="12"/>
    <x v="12"/>
    <x v="16"/>
    <x v="11"/>
    <s v="8.x"/>
  </r>
  <r>
    <x v="57"/>
    <x v="57"/>
    <x v="0"/>
    <s v=" "/>
    <s v=" "/>
    <s v=" "/>
    <m/>
    <m/>
    <x v="3"/>
    <n v="1"/>
    <s v="Consulting"/>
    <s v="No"/>
    <n v="0"/>
    <s v=""/>
    <x v="1"/>
    <n v="20"/>
    <s v=""/>
    <n v="20"/>
    <n v="0"/>
    <s v="CSC 16"/>
    <x v="0"/>
    <x v="17"/>
    <x v="12"/>
    <x v="13"/>
    <x v="17"/>
    <x v="11"/>
    <s v="8.x"/>
  </r>
  <r>
    <x v="58"/>
    <x v="58"/>
    <x v="0"/>
    <s v=" "/>
    <s v=" "/>
    <s v=" "/>
    <m/>
    <m/>
    <x v="3"/>
    <n v="0"/>
    <s v="Consulting"/>
    <s v="Yes"/>
    <n v="0"/>
    <s v=""/>
    <x v="1"/>
    <n v="25"/>
    <s v=""/>
    <n v="0"/>
    <n v="0"/>
    <s v="CSC 16"/>
    <x v="0"/>
    <x v="17"/>
    <x v="12"/>
    <x v="0"/>
    <x v="0"/>
    <x v="11"/>
    <s v="8.x"/>
  </r>
  <r>
    <x v="59"/>
    <x v="59"/>
    <x v="0"/>
    <s v=" "/>
    <s v=" "/>
    <s v=" "/>
    <m/>
    <m/>
    <x v="3"/>
    <n v="1"/>
    <s v="Consulting"/>
    <s v="Yes"/>
    <n v="0"/>
    <s v=""/>
    <x v="1"/>
    <n v="20"/>
    <s v=""/>
    <n v="20"/>
    <n v="0"/>
    <s v="CSC 16"/>
    <x v="0"/>
    <x v="17"/>
    <x v="12"/>
    <x v="14"/>
    <x v="16"/>
    <x v="12"/>
    <s v="2.1, 8.x"/>
  </r>
  <r>
    <x v="60"/>
    <x v="60"/>
    <x v="0"/>
    <s v=" "/>
    <s v=" "/>
    <s v=" "/>
    <m/>
    <m/>
    <x v="3"/>
    <n v="0"/>
    <s v="Consulting"/>
    <s v="Yes"/>
    <n v="0"/>
    <s v=""/>
    <x v="1"/>
    <n v="25"/>
    <s v=""/>
    <n v="0"/>
    <n v="0"/>
    <s v="CSC 16"/>
    <x v="0"/>
    <x v="18"/>
    <x v="12"/>
    <x v="15"/>
    <x v="18"/>
    <x v="11"/>
    <s v="8.x"/>
  </r>
  <r>
    <x v="61"/>
    <x v="61"/>
    <x v="2"/>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4"/>
    <n v="1"/>
    <s v="Application/Service Security"/>
    <s v="Yes"/>
    <n v="0"/>
    <s v=""/>
    <x v="1"/>
    <n v="25"/>
    <s v=""/>
    <n v="25"/>
    <n v="0"/>
    <s v="CSC 18"/>
    <x v="0"/>
    <x v="0"/>
    <x v="5"/>
    <x v="0"/>
    <x v="0"/>
    <x v="0"/>
    <s v=""/>
  </r>
  <r>
    <x v="62"/>
    <x v="62"/>
    <x v="2"/>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3"/>
    <n v="1"/>
    <s v="Application/Service Security"/>
    <s v="Yes"/>
    <n v="0"/>
    <s v=""/>
    <x v="1"/>
    <n v="20"/>
    <s v=""/>
    <n v="20"/>
    <n v="0"/>
    <s v="CSC 2, CSC 3"/>
    <x v="0"/>
    <x v="9"/>
    <x v="5"/>
    <x v="0"/>
    <x v="0"/>
    <x v="0"/>
    <s v=""/>
  </r>
  <r>
    <x v="63"/>
    <x v="63"/>
    <x v="2"/>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3"/>
    <n v="1"/>
    <s v="Application/Service Security"/>
    <s v="Yes"/>
    <n v="0"/>
    <s v=""/>
    <x v="1"/>
    <n v="20"/>
    <s v=""/>
    <n v="20"/>
    <n v="0"/>
    <s v="CSC 14"/>
    <x v="0"/>
    <x v="10"/>
    <x v="6"/>
    <x v="6"/>
    <x v="10"/>
    <x v="6"/>
    <s v="7.x"/>
  </r>
  <r>
    <x v="64"/>
    <x v="64"/>
    <x v="2"/>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3"/>
    <n v="1"/>
    <s v="Application/Service Security"/>
    <s v="Yes"/>
    <n v="0"/>
    <s v=""/>
    <x v="1"/>
    <n v="20"/>
    <s v=""/>
    <n v="20"/>
    <n v="0"/>
    <s v="CSC16"/>
    <x v="0"/>
    <x v="11"/>
    <x v="7"/>
    <x v="8"/>
    <x v="11"/>
    <x v="6"/>
    <s v="7.x"/>
  </r>
  <r>
    <x v="65"/>
    <x v="65"/>
    <x v="0"/>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4"/>
    <n v="1"/>
    <s v="Application/Service Security"/>
    <s v="Yes"/>
    <n v="0"/>
    <s v=""/>
    <x v="1"/>
    <n v="25"/>
    <s v=""/>
    <n v="25"/>
    <n v="0"/>
    <s v="CSC 16"/>
    <x v="0"/>
    <x v="19"/>
    <x v="13"/>
    <x v="0"/>
    <x v="0"/>
    <x v="0"/>
    <s v=""/>
  </r>
  <r>
    <x v="66"/>
    <x v="66"/>
    <x v="0"/>
    <s v="Include any in-house developed or contract development"/>
    <s v="Briefly summarize your response."/>
    <s v="Provide supporting documentation of your processes."/>
    <s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3"/>
    <n v="1"/>
    <s v="Application/Service Security"/>
    <s v="Yes"/>
    <n v="0"/>
    <s v=""/>
    <x v="1"/>
    <n v="20"/>
    <s v=""/>
    <n v="20"/>
    <n v="0"/>
    <s v="CSC 16"/>
    <x v="0"/>
    <x v="7"/>
    <x v="13"/>
    <x v="0"/>
    <x v="0"/>
    <x v="11"/>
    <s v="8.x"/>
  </r>
  <r>
    <x v="67"/>
    <x v="67"/>
    <x v="0"/>
    <s v="If the web application only works with a subset of modern supported browsers, please indicate that here"/>
    <s v="State your plan to migrate to supported operating systems, libraries, and software."/>
    <s v="Please provide a list of all required dependancies."/>
    <m/>
    <m/>
    <x v="4"/>
    <n v="1"/>
    <s v="Application/Service Security"/>
    <s v="No"/>
    <n v="0"/>
    <s v=""/>
    <x v="1"/>
    <n v="25"/>
    <s v=""/>
    <n v="25"/>
    <n v="0"/>
    <s v="CSC 16"/>
    <x v="0"/>
    <x v="19"/>
    <x v="13"/>
    <x v="0"/>
    <x v="0"/>
    <x v="0"/>
    <s v=""/>
  </r>
  <r>
    <x v="68"/>
    <x v="68"/>
    <x v="0"/>
    <s v=" "/>
    <s v=" "/>
    <s v=" "/>
    <m/>
    <m/>
    <x v="3"/>
    <n v="1"/>
    <s v="Application/Service Security"/>
    <s v="Yes"/>
    <n v="0"/>
    <s v=""/>
    <x v="1"/>
    <n v="15"/>
    <s v=""/>
    <n v="15"/>
    <n v="0"/>
    <m/>
    <x v="0"/>
    <x v="0"/>
    <x v="0"/>
    <x v="0"/>
    <x v="0"/>
    <x v="0"/>
    <s v=""/>
  </r>
  <r>
    <x v="69"/>
    <x v="69"/>
    <x v="0"/>
    <s v=" "/>
    <s v=" "/>
    <s v=" "/>
    <m/>
    <m/>
    <x v="4"/>
    <n v="1"/>
    <s v="Application/Service Security"/>
    <s v="No"/>
    <n v="0"/>
    <s v=""/>
    <x v="1"/>
    <n v="25"/>
    <s v=""/>
    <n v="25"/>
    <n v="0"/>
    <s v="CSC 2"/>
    <x v="0"/>
    <x v="12"/>
    <x v="9"/>
    <x v="0"/>
    <x v="0"/>
    <x v="0"/>
    <s v=""/>
  </r>
  <r>
    <x v="70"/>
    <x v="70"/>
    <x v="0"/>
    <s v=" "/>
    <s v=" "/>
    <s v="Describe or provide a reference to the facilities available in the system to provide separation of duties between security administration and system administration functions."/>
    <m/>
    <m/>
    <x v="4"/>
    <n v="1"/>
    <s v="Application/Service Security"/>
    <s v="Yes"/>
    <n v="0"/>
    <s v=""/>
    <x v="1"/>
    <n v="40"/>
    <s v=""/>
    <n v="40"/>
    <n v="0"/>
    <s v="CSC 2"/>
    <x v="0"/>
    <x v="14"/>
    <x v="10"/>
    <x v="0"/>
    <x v="13"/>
    <x v="8"/>
    <n v="2"/>
  </r>
  <r>
    <x v="71"/>
    <x v="71"/>
    <x v="0"/>
    <s v=" "/>
    <s v=" "/>
    <s v="Describe or provide a reference that details how administrator access is handled (e.g. provisioning, principle of least privilege, deprovisioning, etc.)"/>
    <m/>
    <m/>
    <x v="3"/>
    <n v="1"/>
    <s v="Application/Service Security"/>
    <s v="No"/>
    <n v="0"/>
    <s v=""/>
    <x v="1"/>
    <n v="10"/>
    <s v=""/>
    <n v="10"/>
    <n v="0"/>
    <s v="CSC 13"/>
    <x v="0"/>
    <x v="15"/>
    <x v="0"/>
    <x v="0"/>
    <x v="0"/>
    <x v="0"/>
    <s v=""/>
  </r>
  <r>
    <x v="72"/>
    <x v="72"/>
    <x v="0"/>
    <m/>
    <m/>
    <m/>
    <m/>
    <m/>
    <x v="3"/>
    <n v="1"/>
    <s v="Policies, Procedures, and Processes"/>
    <s v="Yes"/>
    <n v="0"/>
    <s v=""/>
    <x v="1"/>
    <n v="20"/>
    <s v=""/>
    <n v="20"/>
    <n v="0"/>
    <s v="CSC 3"/>
    <x v="0"/>
    <x v="0"/>
    <x v="14"/>
    <x v="16"/>
    <x v="19"/>
    <x v="0"/>
    <e v="#N/A"/>
  </r>
  <r>
    <x v="73"/>
    <x v="73"/>
    <x v="0"/>
    <m/>
    <m/>
    <m/>
    <m/>
    <m/>
    <x v="3"/>
    <n v="1"/>
    <s v="Policies, Procedures, and Processes"/>
    <s v="Yes"/>
    <n v="0"/>
    <s v=""/>
    <x v="1"/>
    <n v="20"/>
    <s v=""/>
    <n v="20"/>
    <n v="0"/>
    <s v="CSC 3"/>
    <x v="0"/>
    <x v="20"/>
    <x v="0"/>
    <x v="17"/>
    <x v="0"/>
    <x v="0"/>
    <e v="#N/A"/>
  </r>
  <r>
    <x v="74"/>
    <x v="74"/>
    <x v="0"/>
    <m/>
    <m/>
    <m/>
    <m/>
    <m/>
    <x v="4"/>
    <n v="1"/>
    <s v="Policies, Procedures, and Processes"/>
    <s v="Yes"/>
    <n v="0"/>
    <e v="#N/A"/>
    <x v="2"/>
    <n v="25"/>
    <s v=""/>
    <n v="25"/>
    <e v="#N/A"/>
    <s v="CSC 3"/>
    <x v="0"/>
    <x v="14"/>
    <x v="15"/>
    <x v="18"/>
    <x v="20"/>
    <x v="0"/>
    <e v="#N/A"/>
  </r>
  <r>
    <x v="75"/>
    <x v="75"/>
    <x v="0"/>
    <m/>
    <m/>
    <m/>
    <m/>
    <m/>
    <x v="4"/>
    <n v="1"/>
    <s v="Policies, Procedures, and Processes"/>
    <s v="Yes"/>
    <n v="0"/>
    <s v=""/>
    <x v="1"/>
    <n v="25"/>
    <s v=""/>
    <n v="25"/>
    <n v="0"/>
    <s v="CSC 4"/>
    <x v="0"/>
    <x v="21"/>
    <x v="16"/>
    <x v="19"/>
    <x v="21"/>
    <x v="13"/>
    <e v="#N/A"/>
  </r>
  <r>
    <x v="76"/>
    <x v="76"/>
    <x v="0"/>
    <s v=" "/>
    <s v=" "/>
    <s v=" "/>
    <m/>
    <m/>
    <x v="4"/>
    <n v="1"/>
    <s v="Authentication, Authorization, and Accounting"/>
    <s v="Yes"/>
    <s v=""/>
    <s v=""/>
    <x v="1"/>
    <n v="25"/>
    <s v=""/>
    <n v="25"/>
    <n v="0"/>
    <s v="CSC 10"/>
    <x v="0"/>
    <x v="2"/>
    <x v="3"/>
    <x v="20"/>
    <x v="22"/>
    <x v="0"/>
    <s v=""/>
  </r>
  <r>
    <x v="77"/>
    <x v="77"/>
    <x v="0"/>
    <s v=" "/>
    <s v=" "/>
    <s v=" "/>
    <m/>
    <m/>
    <x v="4"/>
    <n v="1"/>
    <s v="Authentication, Authorization, and Accounting"/>
    <s v="Yes"/>
    <s v=""/>
    <s v=""/>
    <x v="1"/>
    <n v="25"/>
    <s v=""/>
    <n v="25"/>
    <n v="0"/>
    <s v="CSC 10"/>
    <x v="0"/>
    <x v="22"/>
    <x v="3"/>
    <x v="20"/>
    <x v="22"/>
    <x v="0"/>
    <s v=""/>
  </r>
  <r>
    <x v="78"/>
    <x v="78"/>
    <x v="0"/>
    <s v=" "/>
    <s v=" "/>
    <s v=" "/>
    <m/>
    <m/>
    <x v="3"/>
    <n v="0"/>
    <s v="Authentication, Authorization, and Accounting"/>
    <s v="Yes"/>
    <n v="0"/>
    <s v=""/>
    <x v="1"/>
    <n v="20"/>
    <s v=""/>
    <n v="0"/>
    <n v="0"/>
    <s v="CSC 10"/>
    <x v="0"/>
    <x v="23"/>
    <x v="3"/>
    <x v="21"/>
    <x v="23"/>
    <x v="9"/>
    <s v="12.x"/>
  </r>
  <r>
    <x v="79"/>
    <x v="79"/>
    <x v="0"/>
    <s v=" "/>
    <s v=" "/>
    <s v=" "/>
    <m/>
    <m/>
    <x v="3"/>
    <n v="0"/>
    <s v="Authentication, Authorization, and Accounting"/>
    <s v="No"/>
    <n v="0"/>
    <s v=""/>
    <x v="1"/>
    <n v="40"/>
    <s v=""/>
    <n v="0"/>
    <n v="0"/>
    <s v="CSC 10"/>
    <x v="0"/>
    <x v="24"/>
    <x v="3"/>
    <x v="0"/>
    <x v="24"/>
    <x v="9"/>
    <s v="12.x"/>
  </r>
  <r>
    <x v="80"/>
    <x v="80"/>
    <x v="0"/>
    <s v=" "/>
    <s v=" "/>
    <s v=" "/>
    <m/>
    <m/>
    <x v="3"/>
    <n v="0"/>
    <s v="Authentication, Authorization, and Accounting"/>
    <s v="No"/>
    <n v="0"/>
    <s v=""/>
    <x v="1"/>
    <n v="40"/>
    <s v=""/>
    <n v="0"/>
    <n v="0"/>
    <s v="CSC 10"/>
    <x v="0"/>
    <x v="25"/>
    <x v="3"/>
    <x v="0"/>
    <x v="24"/>
    <x v="2"/>
    <n v="12"/>
  </r>
  <r>
    <x v="81"/>
    <x v="81"/>
    <x v="0"/>
    <s v=" "/>
    <s v=" "/>
    <s v=" "/>
    <m/>
    <m/>
    <x v="3"/>
    <n v="0"/>
    <s v="Authentication, Authorization, and Accounting"/>
    <s v="Yes"/>
    <n v="0"/>
    <s v=""/>
    <x v="1"/>
    <n v="25"/>
    <s v=""/>
    <n v="0"/>
    <n v="0"/>
    <s v="CSC 10"/>
    <x v="0"/>
    <x v="22"/>
    <x v="3"/>
    <x v="0"/>
    <x v="24"/>
    <x v="2"/>
    <n v="12"/>
  </r>
  <r>
    <x v="82"/>
    <x v="82"/>
    <x v="0"/>
    <s v=" "/>
    <s v=" "/>
    <s v=" "/>
    <m/>
    <m/>
    <x v="3"/>
    <n v="0"/>
    <s v="Authentication, Authorization, and Accounting"/>
    <s v="Yes"/>
    <n v="0"/>
    <s v=""/>
    <x v="1"/>
    <n v="40"/>
    <s v=""/>
    <n v="0"/>
    <n v="0"/>
    <s v="CSC 10"/>
    <x v="0"/>
    <x v="0"/>
    <x v="3"/>
    <x v="0"/>
    <x v="24"/>
    <x v="2"/>
    <n v="12"/>
  </r>
  <r>
    <x v="83"/>
    <x v="83"/>
    <x v="0"/>
    <s v=" "/>
    <s v=" "/>
    <s v=" "/>
    <m/>
    <m/>
    <x v="3"/>
    <n v="1"/>
    <s v="Authentication, Authorization, and Accounting"/>
    <s v="Yes"/>
    <n v="0"/>
    <s v=""/>
    <x v="1"/>
    <n v="20"/>
    <s v=""/>
    <n v="20"/>
    <n v="0"/>
    <s v="CSC 10"/>
    <x v="0"/>
    <x v="26"/>
    <x v="17"/>
    <x v="22"/>
    <x v="25"/>
    <x v="14"/>
    <s v="6.4, 6.4.5, 6.4.5.1, 6.4.5.2"/>
  </r>
  <r>
    <x v="84"/>
    <x v="84"/>
    <x v="0"/>
    <s v=" "/>
    <s v=" "/>
    <s v=" "/>
    <m/>
    <m/>
    <x v="3"/>
    <n v="0"/>
    <s v="Authentication, Authorization, and Accounting"/>
    <s v="No"/>
    <n v="0"/>
    <s v=""/>
    <x v="1"/>
    <n v="15"/>
    <s v=""/>
    <n v="0"/>
    <n v="0"/>
    <s v="CSC 10"/>
    <x v="0"/>
    <x v="26"/>
    <x v="18"/>
    <x v="23"/>
    <x v="25"/>
    <x v="14"/>
    <s v="6.4, 6.4.5, 6.4.5.1, 6.4.5.2"/>
  </r>
  <r>
    <x v="85"/>
    <x v="85"/>
    <x v="0"/>
    <s v=" "/>
    <s v=" "/>
    <s v=" "/>
    <m/>
    <m/>
    <x v="3"/>
    <n v="1"/>
    <s v="Authentication, Authorization, and Accounting"/>
    <s v="Yes"/>
    <n v="0"/>
    <s v=""/>
    <x v="1"/>
    <n v="15"/>
    <s v=""/>
    <n v="15"/>
    <n v="0"/>
    <s v="CSC 10"/>
    <x v="0"/>
    <x v="26"/>
    <x v="0"/>
    <x v="0"/>
    <x v="25"/>
    <x v="15"/>
    <s v="6.4, 12.8, 12.9"/>
  </r>
  <r>
    <x v="86"/>
    <x v="86"/>
    <x v="0"/>
    <s v=" "/>
    <s v=" "/>
    <s v=" "/>
    <m/>
    <m/>
    <x v="3"/>
    <n v="0"/>
    <s v="Authentication, Authorization, and Accounting"/>
    <s v="No"/>
    <n v="0"/>
    <s v=""/>
    <x v="1"/>
    <n v="20"/>
    <s v=""/>
    <n v="0"/>
    <n v="0"/>
    <s v="CSC 10"/>
    <x v="0"/>
    <x v="0"/>
    <x v="0"/>
    <x v="0"/>
    <x v="25"/>
    <x v="2"/>
    <n v="12"/>
  </r>
  <r>
    <x v="87"/>
    <x v="87"/>
    <x v="0"/>
    <s v=" "/>
    <s v=" "/>
    <s v=" "/>
    <m/>
    <m/>
    <x v="3"/>
    <n v="0"/>
    <s v="Authentication, Authorization, and Accounting"/>
    <s v="No"/>
    <n v="0"/>
    <s v=""/>
    <x v="1"/>
    <n v="15"/>
    <s v=""/>
    <n v="0"/>
    <n v="0"/>
    <s v="CSC 2"/>
    <x v="0"/>
    <x v="0"/>
    <x v="0"/>
    <x v="0"/>
    <x v="25"/>
    <x v="16"/>
    <s v="12.1, 12.8"/>
  </r>
  <r>
    <x v="88"/>
    <x v="88"/>
    <x v="0"/>
    <s v=" "/>
    <s v=" "/>
    <s v=" "/>
    <m/>
    <m/>
    <x v="3"/>
    <n v="1"/>
    <s v="Authentication, Authorization, and Accounting"/>
    <s v="Yes"/>
    <n v="0"/>
    <s v=""/>
    <x v="1"/>
    <n v="15"/>
    <s v=""/>
    <n v="15"/>
    <n v="0"/>
    <s v="CSC 2"/>
    <x v="0"/>
    <x v="0"/>
    <x v="0"/>
    <x v="0"/>
    <x v="25"/>
    <x v="0"/>
    <s v=""/>
  </r>
  <r>
    <x v="89"/>
    <x v="89"/>
    <x v="0"/>
    <s v=" "/>
    <s v=" "/>
    <s v=" "/>
    <m/>
    <m/>
    <x v="4"/>
    <n v="1"/>
    <s v="Authentication, Authorization, and Accounting"/>
    <s v="No"/>
    <n v="0"/>
    <s v=""/>
    <x v="1"/>
    <n v="25"/>
    <s v=""/>
    <n v="25"/>
    <n v="0"/>
    <s v="CSC 10"/>
    <x v="0"/>
    <x v="0"/>
    <x v="0"/>
    <x v="0"/>
    <x v="25"/>
    <x v="0"/>
    <s v=""/>
  </r>
  <r>
    <x v="90"/>
    <x v="90"/>
    <x v="0"/>
    <s v=" "/>
    <s v=" "/>
    <s v=" "/>
    <m/>
    <m/>
    <x v="4"/>
    <n v="1"/>
    <s v="Authentication, Authorization, and Accounting"/>
    <s v="Yes"/>
    <n v="0"/>
    <s v=""/>
    <x v="1"/>
    <n v="25"/>
    <s v=""/>
    <n v="25"/>
    <n v="0"/>
    <s v="CSC 2"/>
    <x v="0"/>
    <x v="14"/>
    <x v="19"/>
    <x v="24"/>
    <x v="25"/>
    <x v="2"/>
    <n v="12"/>
  </r>
  <r>
    <x v="91"/>
    <x v="91"/>
    <x v="0"/>
    <s v=" "/>
    <s v=" "/>
    <s v=" "/>
    <s v=" "/>
    <m/>
    <x v="3"/>
    <n v="1"/>
    <s v="Authentication, Authorization, and Accounting"/>
    <s v="Yes"/>
    <n v="0"/>
    <s v=""/>
    <x v="1"/>
    <n v="20"/>
    <s v=""/>
    <n v="20"/>
    <n v="0"/>
    <s v="CSC 10"/>
    <x v="0"/>
    <x v="0"/>
    <x v="0"/>
    <x v="25"/>
    <x v="25"/>
    <x v="0"/>
    <s v=""/>
  </r>
  <r>
    <x v="92"/>
    <x v="92"/>
    <x v="0"/>
    <s v=" "/>
    <s v="Describe any plans to enable audit logs for these data elements."/>
    <s v=" "/>
    <m/>
    <m/>
    <x v="4"/>
    <n v="1"/>
    <s v="Authentication, Authorization, and Accounting"/>
    <s v="Yes"/>
    <n v="0"/>
    <s v=""/>
    <x v="1"/>
    <n v="25"/>
    <s v=""/>
    <n v="25"/>
    <n v="0"/>
    <s v="CSC 2"/>
    <x v="0"/>
    <x v="0"/>
    <x v="0"/>
    <x v="0"/>
    <x v="25"/>
    <x v="0"/>
    <s v=""/>
  </r>
  <r>
    <x v="93"/>
    <x v="93"/>
    <x v="0"/>
    <m/>
    <m/>
    <m/>
    <m/>
    <m/>
    <x v="0"/>
    <n v="1"/>
    <s v="Authentication, Authorization, and Accounting"/>
    <s v="Qualitative"/>
    <m/>
    <m/>
    <x v="1"/>
    <n v="25"/>
    <s v=""/>
    <n v="25"/>
    <n v="0"/>
    <m/>
    <x v="0"/>
    <x v="0"/>
    <x v="0"/>
    <x v="0"/>
    <x v="0"/>
    <x v="0"/>
    <m/>
  </r>
  <r>
    <x v="94"/>
    <x v="94"/>
    <x v="0"/>
    <m/>
    <m/>
    <m/>
    <m/>
    <m/>
    <x v="0"/>
    <n v="1"/>
    <s v="Authentication, Authorization, and Accounting"/>
    <s v="Qualitative"/>
    <m/>
    <m/>
    <x v="1"/>
    <n v="25"/>
    <s v=""/>
    <n v="25"/>
    <n v="0"/>
    <m/>
    <x v="0"/>
    <x v="0"/>
    <x v="0"/>
    <x v="0"/>
    <x v="0"/>
    <x v="0"/>
    <m/>
  </r>
  <r>
    <x v="95"/>
    <x v="95"/>
    <x v="0"/>
    <s v=" "/>
    <s v=" "/>
    <s v=" "/>
    <m/>
    <m/>
    <x v="3"/>
    <n v="1"/>
    <s v="Business Continuity Plan"/>
    <s v="Yes"/>
    <n v="0"/>
    <s v=""/>
    <x v="1"/>
    <n v="20"/>
    <s v=""/>
    <n v="20"/>
    <n v="0"/>
    <s v="CSC 13"/>
    <x v="2"/>
    <x v="21"/>
    <x v="0"/>
    <x v="0"/>
    <x v="25"/>
    <x v="17"/>
    <s v="12.2, 12.8"/>
  </r>
  <r>
    <x v="96"/>
    <x v="96"/>
    <x v="0"/>
    <s v=" "/>
    <s v=" "/>
    <s v=" "/>
    <m/>
    <m/>
    <x v="3"/>
    <n v="1"/>
    <s v="Business Continuity Plan"/>
    <s v="Yes"/>
    <n v="0"/>
    <s v=""/>
    <x v="1"/>
    <n v="20"/>
    <s v=""/>
    <n v="20"/>
    <n v="0"/>
    <s v="CSC 10"/>
    <x v="0"/>
    <x v="0"/>
    <x v="0"/>
    <x v="0"/>
    <x v="25"/>
    <x v="18"/>
    <s v="12.1, 12.2, 12.8"/>
  </r>
  <r>
    <x v="97"/>
    <x v="97"/>
    <x v="0"/>
    <s v=" "/>
    <s v=" "/>
    <s v=" "/>
    <m/>
    <m/>
    <x v="4"/>
    <n v="1"/>
    <s v="Business Continuity Plan"/>
    <s v="Yes"/>
    <n v="0"/>
    <s v=""/>
    <x v="1"/>
    <n v="25"/>
    <s v=""/>
    <n v="25"/>
    <n v="0"/>
    <s v="CSC 10"/>
    <x v="0"/>
    <x v="26"/>
    <x v="17"/>
    <x v="0"/>
    <x v="25"/>
    <x v="19"/>
    <s v="12.10, 12.8, 6.4"/>
  </r>
  <r>
    <x v="98"/>
    <x v="98"/>
    <x v="0"/>
    <s v=" "/>
    <s v=" "/>
    <s v=" "/>
    <m/>
    <m/>
    <x v="4"/>
    <n v="1"/>
    <s v="Business Continuity Plan"/>
    <s v="Yes"/>
    <n v="0"/>
    <s v=""/>
    <x v="1"/>
    <n v="25"/>
    <s v=""/>
    <n v="25"/>
    <n v="0"/>
    <s v="CSC 12"/>
    <x v="0"/>
    <x v="0"/>
    <x v="20"/>
    <x v="26"/>
    <x v="26"/>
    <x v="1"/>
    <n v="13"/>
  </r>
  <r>
    <x v="99"/>
    <x v="99"/>
    <x v="0"/>
    <s v=" "/>
    <s v=" "/>
    <s v=" "/>
    <m/>
    <m/>
    <x v="3"/>
    <n v="1"/>
    <s v="Business Continuity Plan"/>
    <s v="Yes"/>
    <n v="0"/>
    <s v=""/>
    <x v="1"/>
    <n v="20"/>
    <s v=""/>
    <n v="20"/>
    <n v="0"/>
    <s v="CSC 12"/>
    <x v="0"/>
    <x v="0"/>
    <x v="20"/>
    <x v="27"/>
    <x v="27"/>
    <x v="20"/>
    <s v="12.8, 9.x"/>
  </r>
  <r>
    <x v="100"/>
    <x v="100"/>
    <x v="0"/>
    <s v=" "/>
    <s v=" "/>
    <s v=" "/>
    <m/>
    <m/>
    <x v="3"/>
    <n v="1"/>
    <s v="Business Continuity Plan"/>
    <s v="Yes"/>
    <n v="0"/>
    <s v=""/>
    <x v="1"/>
    <n v="20"/>
    <s v=""/>
    <n v="20"/>
    <n v="0"/>
    <s v="CSC 10"/>
    <x v="0"/>
    <x v="2"/>
    <x v="3"/>
    <x v="20"/>
    <x v="22"/>
    <x v="0"/>
    <s v=""/>
  </r>
  <r>
    <x v="101"/>
    <x v="101"/>
    <x v="0"/>
    <s v=" "/>
    <s v=" "/>
    <s v=" "/>
    <m/>
    <m/>
    <x v="3"/>
    <n v="1"/>
    <s v="Business Continuity Plan"/>
    <s v="Yes"/>
    <n v="0"/>
    <s v=""/>
    <x v="1"/>
    <n v="20"/>
    <s v=""/>
    <n v="20"/>
    <n v="0"/>
    <s v="CSC 10"/>
    <x v="0"/>
    <x v="22"/>
    <x v="3"/>
    <x v="20"/>
    <x v="22"/>
    <x v="0"/>
    <s v=""/>
  </r>
  <r>
    <x v="102"/>
    <x v="102"/>
    <x v="0"/>
    <s v=" "/>
    <s v=" "/>
    <s v=" "/>
    <m/>
    <m/>
    <x v="3"/>
    <n v="1"/>
    <s v="Business Continuity Plan"/>
    <s v="Yes"/>
    <n v="0"/>
    <s v=""/>
    <x v="1"/>
    <n v="20"/>
    <s v=""/>
    <n v="20"/>
    <n v="0"/>
    <s v="CSC 10"/>
    <x v="0"/>
    <x v="23"/>
    <x v="3"/>
    <x v="21"/>
    <x v="23"/>
    <x v="9"/>
    <s v="12.x"/>
  </r>
  <r>
    <x v="103"/>
    <x v="103"/>
    <x v="0"/>
    <s v=" "/>
    <s v=" "/>
    <s v=" "/>
    <m/>
    <m/>
    <x v="3"/>
    <n v="0"/>
    <s v="Business Continuity Plan"/>
    <s v="Yes"/>
    <n v="0"/>
    <s v=""/>
    <x v="1"/>
    <n v="15"/>
    <s v=""/>
    <n v="0"/>
    <n v="0"/>
    <s v="CSC 10"/>
    <x v="0"/>
    <x v="24"/>
    <x v="3"/>
    <x v="0"/>
    <x v="24"/>
    <x v="9"/>
    <s v="12.x"/>
  </r>
  <r>
    <x v="104"/>
    <x v="104"/>
    <x v="0"/>
    <s v=" "/>
    <s v=" "/>
    <s v="Describe or provide references explaining how tertiary services are redundant (i.e. DNS, ISP, etc.)."/>
    <m/>
    <m/>
    <x v="4"/>
    <n v="1"/>
    <s v="Business Continuity Plan"/>
    <s v="Yes"/>
    <n v="0"/>
    <s v=""/>
    <x v="1"/>
    <n v="25"/>
    <s v=""/>
    <n v="25"/>
    <n v="0"/>
    <s v="CSC 10"/>
    <x v="0"/>
    <x v="25"/>
    <x v="3"/>
    <x v="0"/>
    <x v="24"/>
    <x v="2"/>
    <n v="12"/>
  </r>
  <r>
    <x v="105"/>
    <x v="105"/>
    <x v="0"/>
    <s v=" "/>
    <s v=" "/>
    <s v="Indicate all procedures that are implemented in your CMP. a.) An impact analysis of the upgrade is performed. b.) The change is appropriately authorized. c.) Changes are made first in a test environment. d.) The ability to implement the upgrades/changes in the production environment is limited to appropriate IT personnel."/>
    <m/>
    <m/>
    <x v="3"/>
    <n v="1"/>
    <s v="Change Management"/>
    <s v="Yes"/>
    <n v="0"/>
    <s v=""/>
    <x v="1"/>
    <n v="20"/>
    <s v=""/>
    <n v="20"/>
    <n v="0"/>
    <s v="CSC 13"/>
    <x v="0"/>
    <x v="27"/>
    <x v="0"/>
    <x v="0"/>
    <x v="0"/>
    <x v="1"/>
    <n v="13"/>
  </r>
  <r>
    <x v="106"/>
    <x v="106"/>
    <x v="0"/>
    <s v=" "/>
    <s v=" "/>
    <s v=" "/>
    <m/>
    <m/>
    <x v="3"/>
    <n v="1"/>
    <s v="Change Management"/>
    <s v="Yes"/>
    <n v="0"/>
    <s v=""/>
    <x v="1"/>
    <n v="20"/>
    <s v=""/>
    <n v="20"/>
    <n v="0"/>
    <m/>
    <x v="0"/>
    <x v="28"/>
    <x v="0"/>
    <x v="0"/>
    <x v="0"/>
    <x v="1"/>
    <n v="13"/>
  </r>
  <r>
    <x v="107"/>
    <x v="107"/>
    <x v="0"/>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4"/>
    <n v="1"/>
    <s v="Change Management"/>
    <s v="Yes"/>
    <n v="0"/>
    <s v=""/>
    <x v="1"/>
    <n v="25"/>
    <s v=""/>
    <n v="25"/>
    <n v="0"/>
    <s v="CSC 13"/>
    <x v="0"/>
    <x v="29"/>
    <x v="0"/>
    <x v="28"/>
    <x v="0"/>
    <x v="1"/>
    <n v="13"/>
  </r>
  <r>
    <x v="108"/>
    <x v="108"/>
    <x v="0"/>
    <s v=" "/>
    <s v=" "/>
    <s v=" "/>
    <m/>
    <m/>
    <x v="3"/>
    <n v="1"/>
    <s v="Change Management"/>
    <s v="Yes"/>
    <n v="0"/>
    <s v=""/>
    <x v="1"/>
    <n v="10"/>
    <s v=""/>
    <n v="10"/>
    <n v="0"/>
    <s v="CSC 13"/>
    <x v="0"/>
    <x v="29"/>
    <x v="0"/>
    <x v="4"/>
    <x v="0"/>
    <x v="1"/>
    <n v="13"/>
  </r>
  <r>
    <x v="109"/>
    <x v="109"/>
    <x v="0"/>
    <s v="List the current version you support and what percentage of customers are utilizing that version"/>
    <s v=" "/>
    <s v="Describe or provide a reference to your solution support strategy in relation to maintaining software currency. (i.e. how many concurrent versions are you willing to run and support?)"/>
    <m/>
    <m/>
    <x v="3"/>
    <n v="1"/>
    <s v="Change Management"/>
    <s v="Yes"/>
    <n v="0"/>
    <s v=""/>
    <x v="1"/>
    <n v="15"/>
    <s v=""/>
    <n v="15"/>
    <n v="0"/>
    <s v="CAC 13"/>
    <x v="0"/>
    <x v="29"/>
    <x v="0"/>
    <x v="28"/>
    <x v="0"/>
    <x v="1"/>
    <n v="13"/>
  </r>
  <r>
    <x v="110"/>
    <x v="110"/>
    <x v="0"/>
    <s v=" "/>
    <s v=" "/>
    <s v=" "/>
    <m/>
    <m/>
    <x v="4"/>
    <n v="1"/>
    <s v="Change Management"/>
    <s v="Yes"/>
    <n v="0"/>
    <s v=""/>
    <x v="1"/>
    <n v="25"/>
    <s v=""/>
    <n v="25"/>
    <n v="0"/>
    <s v="CSC 10"/>
    <x v="0"/>
    <x v="28"/>
    <x v="21"/>
    <x v="29"/>
    <x v="28"/>
    <x v="21"/>
    <s v="9.x"/>
  </r>
  <r>
    <x v="111"/>
    <x v="111"/>
    <x v="0"/>
    <s v=" "/>
    <s v=" "/>
    <s v=" "/>
    <m/>
    <m/>
    <x v="3"/>
    <n v="1"/>
    <s v="Change Management"/>
    <s v="Yes"/>
    <n v="0"/>
    <s v=""/>
    <x v="1"/>
    <n v="15"/>
    <s v=""/>
    <n v="15"/>
    <n v="0"/>
    <s v="CSC 10"/>
    <x v="0"/>
    <x v="28"/>
    <x v="21"/>
    <x v="29"/>
    <x v="28"/>
    <x v="1"/>
    <n v="13"/>
  </r>
  <r>
    <x v="112"/>
    <x v="112"/>
    <x v="0"/>
    <s v=" "/>
    <s v=" "/>
    <s v=" "/>
    <m/>
    <m/>
    <x v="3"/>
    <n v="1"/>
    <s v="Change Management"/>
    <s v="Yes"/>
    <n v="0"/>
    <s v=""/>
    <x v="1"/>
    <n v="15"/>
    <s v=""/>
    <n v="15"/>
    <n v="0"/>
    <s v="CSC 10"/>
    <x v="0"/>
    <x v="28"/>
    <x v="21"/>
    <x v="29"/>
    <x v="28"/>
    <x v="0"/>
    <s v=""/>
  </r>
  <r>
    <x v="113"/>
    <x v="113"/>
    <x v="0"/>
    <s v=" "/>
    <s v=" "/>
    <s v=" "/>
    <m/>
    <m/>
    <x v="3"/>
    <n v="1"/>
    <s v="Change Management"/>
    <s v="Yes"/>
    <n v="0"/>
    <s v=""/>
    <x v="1"/>
    <n v="15"/>
    <s v=""/>
    <n v="15"/>
    <n v="0"/>
    <s v="CSC 10"/>
    <x v="0"/>
    <x v="28"/>
    <x v="22"/>
    <x v="29"/>
    <x v="28"/>
    <x v="0"/>
    <s v=""/>
  </r>
  <r>
    <x v="114"/>
    <x v="114"/>
    <x v="0"/>
    <s v=" "/>
    <s v=" "/>
    <s v=" "/>
    <m/>
    <m/>
    <x v="3"/>
    <n v="1"/>
    <s v="Change Management"/>
    <s v="Yes"/>
    <n v="0"/>
    <s v=""/>
    <x v="1"/>
    <n v="20"/>
    <s v=""/>
    <n v="20"/>
    <n v="0"/>
    <s v="CSC 10"/>
    <x v="0"/>
    <x v="30"/>
    <x v="0"/>
    <x v="30"/>
    <x v="29"/>
    <x v="0"/>
    <s v=""/>
  </r>
  <r>
    <x v="115"/>
    <x v="115"/>
    <x v="0"/>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3"/>
    <n v="1"/>
    <s v="Change Management"/>
    <s v="Yes"/>
    <n v="0"/>
    <s v=""/>
    <x v="1"/>
    <n v="20"/>
    <s v=""/>
    <n v="20"/>
    <n v="0"/>
    <s v="CSC 10"/>
    <x v="0"/>
    <x v="28"/>
    <x v="21"/>
    <x v="31"/>
    <x v="28"/>
    <x v="21"/>
    <s v="9.x"/>
  </r>
  <r>
    <x v="116"/>
    <x v="116"/>
    <x v="0"/>
    <s v=" "/>
    <s v=" "/>
    <s v=" "/>
    <m/>
    <m/>
    <x v="3"/>
    <n v="1"/>
    <s v="Change Management"/>
    <s v="Yes"/>
    <n v="0"/>
    <s v=""/>
    <x v="1"/>
    <n v="15"/>
    <s v=""/>
    <n v="15"/>
    <n v="0"/>
    <s v="CSC 10"/>
    <x v="0"/>
    <x v="28"/>
    <x v="21"/>
    <x v="32"/>
    <x v="30"/>
    <x v="21"/>
    <s v="9.x"/>
  </r>
  <r>
    <x v="117"/>
    <x v="117"/>
    <x v="0"/>
    <s v=" "/>
    <s v=" "/>
    <s v=" "/>
    <m/>
    <m/>
    <x v="3"/>
    <n v="1"/>
    <s v="Change Management"/>
    <s v="Yes"/>
    <n v="0"/>
    <s v=""/>
    <x v="1"/>
    <n v="15"/>
    <s v=""/>
    <n v="15"/>
    <n v="0"/>
    <s v="CSC 13"/>
    <x v="0"/>
    <x v="28"/>
    <x v="0"/>
    <x v="29"/>
    <x v="30"/>
    <x v="1"/>
    <n v="13"/>
  </r>
  <r>
    <x v="118"/>
    <x v="117"/>
    <x v="0"/>
    <s v=" "/>
    <s v=" "/>
    <s v=" "/>
    <m/>
    <m/>
    <x v="4"/>
    <n v="1"/>
    <s v="Change Management"/>
    <s v="Yes"/>
    <n v="0"/>
    <s v=""/>
    <x v="1"/>
    <n v="25"/>
    <s v=""/>
    <n v="25"/>
    <n v="0"/>
    <s v="CSC 13"/>
    <x v="0"/>
    <x v="31"/>
    <x v="23"/>
    <x v="33"/>
    <x v="31"/>
    <x v="21"/>
    <s v="9.x"/>
  </r>
  <r>
    <x v="119"/>
    <x v="118"/>
    <x v="0"/>
    <m/>
    <m/>
    <m/>
    <m/>
    <m/>
    <x v="4"/>
    <n v="1"/>
    <s v="Change Management"/>
    <s v="Yes"/>
    <n v="0"/>
    <s v=""/>
    <x v="1"/>
    <n v="25"/>
    <s v=""/>
    <n v="25"/>
    <n v="0"/>
    <s v="CSC 16"/>
    <x v="3"/>
    <x v="0"/>
    <x v="1"/>
    <x v="6"/>
    <x v="0"/>
    <x v="11"/>
    <s v="8.x"/>
  </r>
  <r>
    <x v="120"/>
    <x v="119"/>
    <x v="0"/>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3"/>
    <n v="1"/>
    <s v="Systems Management &amp; Configuration"/>
    <s v="Yes"/>
    <n v="0"/>
    <s v=""/>
    <x v="1"/>
    <n v="15"/>
    <s v=""/>
    <n v="15"/>
    <n v="0"/>
    <s v="CSC 16"/>
    <x v="4"/>
    <x v="32"/>
    <x v="1"/>
    <x v="6"/>
    <x v="0"/>
    <x v="11"/>
    <e v="#N/A"/>
  </r>
  <r>
    <x v="121"/>
    <x v="120"/>
    <x v="0"/>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m/>
    <x v="3"/>
    <n v="1"/>
    <s v="Data"/>
    <s v="No"/>
    <n v="0"/>
    <s v=""/>
    <x v="1"/>
    <n v="15"/>
    <s v=""/>
    <n v="15"/>
    <n v="0"/>
    <s v="CSC 13"/>
    <x v="0"/>
    <x v="33"/>
    <x v="23"/>
    <x v="34"/>
    <x v="32"/>
    <x v="0"/>
    <s v=""/>
  </r>
  <r>
    <x v="122"/>
    <x v="121"/>
    <x v="0"/>
    <s v=" "/>
    <s v=" "/>
    <s v=" "/>
    <m/>
    <m/>
    <x v="4"/>
    <n v="1"/>
    <s v="Data"/>
    <s v="Yes"/>
    <n v="0"/>
    <s v=""/>
    <x v="1"/>
    <n v="25"/>
    <s v=""/>
    <n v="25"/>
    <n v="0"/>
    <s v="CSC 13"/>
    <x v="0"/>
    <x v="33"/>
    <x v="24"/>
    <x v="34"/>
    <x v="33"/>
    <x v="0"/>
    <s v=""/>
  </r>
  <r>
    <x v="123"/>
    <x v="122"/>
    <x v="0"/>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x v="4"/>
    <n v="1"/>
    <s v="Data"/>
    <s v="Yes"/>
    <n v="0"/>
    <s v=""/>
    <x v="1"/>
    <n v="40"/>
    <s v=""/>
    <n v="40"/>
    <n v="0"/>
    <s v="CSC 13"/>
    <x v="0"/>
    <x v="33"/>
    <x v="23"/>
    <x v="35"/>
    <x v="34"/>
    <x v="20"/>
    <s v="12.8, 9.x"/>
  </r>
  <r>
    <x v="124"/>
    <x v="123"/>
    <x v="0"/>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4"/>
    <n v="1"/>
    <s v="Data"/>
    <s v="Yes"/>
    <n v="0"/>
    <s v=""/>
    <x v="1"/>
    <n v="25"/>
    <s v=""/>
    <n v="25"/>
    <n v="0"/>
    <s v="CSC 13"/>
    <x v="0"/>
    <x v="1"/>
    <x v="1"/>
    <x v="0"/>
    <x v="0"/>
    <x v="0"/>
    <s v=""/>
  </r>
  <r>
    <x v="125"/>
    <x v="124"/>
    <x v="0"/>
    <s v=" "/>
    <s v="State which modules are non-conforming and what functions they are used for"/>
    <m/>
    <m/>
    <m/>
    <x v="4"/>
    <n v="1"/>
    <s v="Data"/>
    <s v="Yes"/>
    <n v="0"/>
    <s v=""/>
    <x v="1"/>
    <n v="25"/>
    <s v=""/>
    <n v="25"/>
    <n v="0"/>
    <s v="CSC 13, CSC 14"/>
    <x v="0"/>
    <x v="34"/>
    <x v="11"/>
    <x v="0"/>
    <x v="0"/>
    <x v="0"/>
    <s v=""/>
  </r>
  <r>
    <x v="126"/>
    <x v="125"/>
    <x v="0"/>
    <s v=" "/>
    <s v=" "/>
    <s v=" "/>
    <m/>
    <m/>
    <x v="3"/>
    <n v="1"/>
    <s v="Data"/>
    <s v="Yes"/>
    <n v="0"/>
    <s v=""/>
    <x v="1"/>
    <n v="20"/>
    <s v=""/>
    <n v="20"/>
    <n v="0"/>
    <s v="CSC 13"/>
    <x v="0"/>
    <x v="35"/>
    <x v="25"/>
    <x v="0"/>
    <x v="0"/>
    <x v="0"/>
    <s v=""/>
  </r>
  <r>
    <x v="127"/>
    <x v="126"/>
    <x v="0"/>
    <s v=" "/>
    <s v=" "/>
    <s v=" "/>
    <m/>
    <m/>
    <x v="4"/>
    <n v="1"/>
    <s v="Data"/>
    <s v="Yes"/>
    <n v="0"/>
    <s v=""/>
    <x v="1"/>
    <n v="25"/>
    <s v=""/>
    <n v="25"/>
    <n v="0"/>
    <s v="CSC 13"/>
    <x v="0"/>
    <x v="35"/>
    <x v="26"/>
    <x v="0"/>
    <x v="0"/>
    <x v="0"/>
    <s v=""/>
  </r>
  <r>
    <x v="128"/>
    <x v="127"/>
    <x v="0"/>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3"/>
    <n v="1"/>
    <s v="Data"/>
    <s v="Yes"/>
    <n v="0"/>
    <s v=""/>
    <x v="1"/>
    <n v="20"/>
    <s v=""/>
    <n v="20"/>
    <n v="0"/>
    <s v="CSC 14"/>
    <x v="0"/>
    <x v="36"/>
    <x v="20"/>
    <x v="0"/>
    <x v="0"/>
    <x v="20"/>
    <s v="12.8, 9.x"/>
  </r>
  <r>
    <x v="129"/>
    <x v="128"/>
    <x v="0"/>
    <s v=" "/>
    <s v=" "/>
    <s v=" "/>
    <m/>
    <m/>
    <x v="3"/>
    <n v="1"/>
    <s v="Data"/>
    <s v="Yes"/>
    <n v="0"/>
    <s v=""/>
    <x v="1"/>
    <n v="15"/>
    <s v=""/>
    <n v="15"/>
    <n v="0"/>
    <s v="CSC 13"/>
    <x v="0"/>
    <x v="36"/>
    <x v="0"/>
    <x v="0"/>
    <x v="0"/>
    <x v="0"/>
    <s v=""/>
  </r>
  <r>
    <x v="130"/>
    <x v="129"/>
    <x v="0"/>
    <s v=" "/>
    <s v=" "/>
    <s v=" "/>
    <m/>
    <m/>
    <x v="4"/>
    <n v="1"/>
    <s v="Data"/>
    <s v="Yes"/>
    <n v="0"/>
    <s v=""/>
    <x v="1"/>
    <n v="25"/>
    <s v=""/>
    <n v="25"/>
    <n v="0"/>
    <s v="CSC 3"/>
    <x v="0"/>
    <x v="25"/>
    <x v="0"/>
    <x v="0"/>
    <x v="0"/>
    <x v="0"/>
    <s v=""/>
  </r>
  <r>
    <x v="131"/>
    <x v="130"/>
    <x v="0"/>
    <s v=" "/>
    <s v=" "/>
    <s v=" "/>
    <m/>
    <m/>
    <x v="3"/>
    <n v="1"/>
    <s v="Data"/>
    <s v="Yes"/>
    <n v="0"/>
    <s v=""/>
    <x v="1"/>
    <n v="0"/>
    <s v=""/>
    <n v="0"/>
    <n v="0"/>
    <s v="CSC 3, CSC 14"/>
    <x v="0"/>
    <x v="0"/>
    <x v="0"/>
    <x v="0"/>
    <x v="8"/>
    <x v="1"/>
    <n v="13"/>
  </r>
  <r>
    <x v="132"/>
    <x v="131"/>
    <x v="0"/>
    <s v="Ensure that response addresses involatile storage and lists retention periods"/>
    <s v="State how Institution's data is protected from system failures and ransomware."/>
    <s v="If your strategy uses different processes for services and data, ensure that all strategies are clearly stated and supported."/>
    <s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
    <s v="An institution's use case will drive the requirements for backup strategy. Ensure that the institution's use case and risk tolerance can be met by vendor systems."/>
    <x v="3"/>
    <n v="0"/>
    <s v="Data"/>
    <s v="Yes"/>
    <n v="0"/>
    <s v=""/>
    <x v="1"/>
    <n v="15"/>
    <s v=""/>
    <n v="0"/>
    <n v="0"/>
    <s v="CSC 3, CSC 14"/>
    <x v="0"/>
    <x v="37"/>
    <x v="27"/>
    <x v="0"/>
    <x v="0"/>
    <x v="21"/>
    <s v="9.x"/>
  </r>
  <r>
    <x v="133"/>
    <x v="132"/>
    <x v="0"/>
    <s v=" "/>
    <s v=" "/>
    <s v=" "/>
    <m/>
    <m/>
    <x v="3"/>
    <n v="1"/>
    <s v="Data"/>
    <s v="Yes"/>
    <n v="0"/>
    <s v=""/>
    <x v="1"/>
    <n v="20"/>
    <s v=""/>
    <n v="20"/>
    <n v="0"/>
    <s v="CSC 14"/>
    <x v="0"/>
    <x v="38"/>
    <x v="27"/>
    <x v="35"/>
    <x v="0"/>
    <x v="21"/>
    <s v="9.x"/>
  </r>
  <r>
    <x v="134"/>
    <x v="133"/>
    <x v="0"/>
    <s v=" "/>
    <s v=" "/>
    <s v=" "/>
    <m/>
    <m/>
    <x v="3"/>
    <n v="1"/>
    <s v="Data"/>
    <s v="Yes"/>
    <n v="0"/>
    <s v=""/>
    <x v="1"/>
    <n v="20"/>
    <s v=""/>
    <n v="20"/>
    <n v="0"/>
    <s v="CSC 9"/>
    <x v="0"/>
    <x v="0"/>
    <x v="28"/>
    <x v="36"/>
    <x v="0"/>
    <x v="0"/>
    <s v=""/>
  </r>
  <r>
    <x v="135"/>
    <x v="134"/>
    <x v="0"/>
    <s v=" "/>
    <s v=" "/>
    <s v=" "/>
    <m/>
    <m/>
    <x v="3"/>
    <m/>
    <m/>
    <s v="Yes"/>
    <n v="0"/>
    <s v=""/>
    <x v="1"/>
    <n v="20"/>
    <s v=""/>
    <n v="0"/>
    <n v="0"/>
    <s v="CSC 12"/>
    <x v="0"/>
    <x v="1"/>
    <x v="0"/>
    <x v="0"/>
    <x v="0"/>
    <x v="1"/>
    <n v="13"/>
  </r>
  <r>
    <x v="136"/>
    <x v="135"/>
    <x v="0"/>
    <s v=" "/>
    <s v=" "/>
    <s v=" "/>
    <m/>
    <m/>
    <x v="4"/>
    <n v="1"/>
    <s v="Data"/>
    <s v="No"/>
    <n v="0"/>
    <s v=""/>
    <x v="1"/>
    <n v="25"/>
    <s v=""/>
    <n v="25"/>
    <n v="0"/>
    <s v="CSC 12"/>
    <x v="0"/>
    <x v="1"/>
    <x v="0"/>
    <x v="0"/>
    <x v="0"/>
    <x v="1"/>
    <n v="13"/>
  </r>
  <r>
    <x v="137"/>
    <x v="136"/>
    <x v="0"/>
    <s v=" "/>
    <s v=" "/>
    <s v=" "/>
    <m/>
    <m/>
    <x v="3"/>
    <n v="1"/>
    <s v="Data"/>
    <s v="Yes"/>
    <n v="0"/>
    <s v=""/>
    <x v="1"/>
    <n v="15"/>
    <s v=""/>
    <n v="15"/>
    <n v="0"/>
    <e v="#N/A"/>
    <x v="5"/>
    <x v="39"/>
    <x v="29"/>
    <x v="37"/>
    <x v="35"/>
    <x v="22"/>
    <e v="#N/A"/>
  </r>
  <r>
    <x v="138"/>
    <x v="137"/>
    <x v="0"/>
    <s v=" "/>
    <s v=" "/>
    <s v=" "/>
    <m/>
    <m/>
    <x v="3"/>
    <n v="1"/>
    <s v="Data"/>
    <s v="Yes"/>
    <n v="0"/>
    <s v=""/>
    <x v="1"/>
    <n v="10"/>
    <s v=""/>
    <n v="10"/>
    <n v="0"/>
    <s v="CSC 10"/>
    <x v="0"/>
    <x v="40"/>
    <x v="0"/>
    <x v="0"/>
    <x v="0"/>
    <x v="1"/>
    <n v="13"/>
  </r>
  <r>
    <x v="139"/>
    <x v="138"/>
    <x v="0"/>
    <m/>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3"/>
    <n v="1"/>
    <s v="Data"/>
    <s v="Yes"/>
    <n v="0"/>
    <s v=""/>
    <x v="1"/>
    <n v="20"/>
    <s v=""/>
    <n v="20"/>
    <n v="0"/>
    <s v="CSC 12"/>
    <x v="0"/>
    <x v="1"/>
    <x v="0"/>
    <x v="0"/>
    <x v="0"/>
    <x v="1"/>
    <n v="13"/>
  </r>
  <r>
    <x v="140"/>
    <x v="139"/>
    <x v="0"/>
    <m/>
    <m/>
    <m/>
    <m/>
    <m/>
    <x v="3"/>
    <m/>
    <m/>
    <s v="No"/>
    <n v="0"/>
    <s v=""/>
    <x v="1"/>
    <n v="20"/>
    <s v=""/>
    <n v="0"/>
    <n v="0"/>
    <m/>
    <x v="0"/>
    <x v="41"/>
    <x v="0"/>
    <x v="0"/>
    <x v="0"/>
    <x v="0"/>
    <s v=""/>
  </r>
  <r>
    <x v="141"/>
    <x v="140"/>
    <x v="0"/>
    <m/>
    <m/>
    <m/>
    <m/>
    <m/>
    <x v="4"/>
    <n v="1"/>
    <s v="Data"/>
    <s v="Yes"/>
    <n v="0"/>
    <s v=""/>
    <x v="1"/>
    <n v="25"/>
    <s v=""/>
    <n v="25"/>
    <n v="0"/>
    <s v="CSC 10"/>
    <x v="0"/>
    <x v="41"/>
    <x v="30"/>
    <x v="0"/>
    <x v="0"/>
    <x v="0"/>
    <s v=""/>
  </r>
  <r>
    <x v="142"/>
    <x v="141"/>
    <x v="0"/>
    <m/>
    <m/>
    <m/>
    <m/>
    <m/>
    <x v="3"/>
    <n v="1"/>
    <s v="Data"/>
    <s v="Yes"/>
    <n v="0"/>
    <s v=""/>
    <x v="1"/>
    <n v="15"/>
    <s v=""/>
    <n v="15"/>
    <n v="0"/>
    <m/>
    <x v="0"/>
    <x v="25"/>
    <x v="30"/>
    <x v="0"/>
    <x v="0"/>
    <x v="0"/>
    <s v=""/>
  </r>
  <r>
    <x v="143"/>
    <x v="142"/>
    <x v="0"/>
    <m/>
    <m/>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3"/>
    <n v="1"/>
    <s v="Data"/>
    <s v="Yes"/>
    <n v="0"/>
    <s v=""/>
    <x v="1"/>
    <n v="20"/>
    <s v=""/>
    <n v="20"/>
    <n v="0"/>
    <m/>
    <x v="0"/>
    <x v="22"/>
    <x v="30"/>
    <x v="0"/>
    <x v="0"/>
    <x v="0"/>
    <s v=""/>
  </r>
  <r>
    <x v="144"/>
    <x v="63"/>
    <x v="0"/>
    <m/>
    <m/>
    <m/>
    <m/>
    <m/>
    <x v="3"/>
    <n v="1"/>
    <s v="Data"/>
    <s v="Yes"/>
    <n v="0"/>
    <s v=""/>
    <x v="1"/>
    <n v="20"/>
    <s v=""/>
    <n v="20"/>
    <n v="0"/>
    <m/>
    <x v="0"/>
    <x v="25"/>
    <x v="0"/>
    <x v="0"/>
    <x v="36"/>
    <x v="0"/>
    <s v=""/>
  </r>
  <r>
    <x v="145"/>
    <x v="143"/>
    <x v="0"/>
    <m/>
    <m/>
    <m/>
    <m/>
    <m/>
    <x v="3"/>
    <n v="0"/>
    <s v="Datacenter"/>
    <s v="Yes"/>
    <n v="0"/>
    <s v=""/>
    <x v="1"/>
    <n v="20"/>
    <s v=""/>
    <n v="0"/>
    <n v="0"/>
    <s v="CSC 10"/>
    <x v="0"/>
    <x v="2"/>
    <x v="3"/>
    <x v="20"/>
    <x v="24"/>
    <x v="1"/>
    <n v="13"/>
  </r>
  <r>
    <x v="146"/>
    <x v="144"/>
    <x v="0"/>
    <s v="Please indicate which geographic regions you can provide storage in the Additional Info column."/>
    <s v="Under what circumstances would institutional data leave a designated region or regions?"/>
    <m/>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3"/>
    <n v="1"/>
    <s v="Datacenter"/>
    <s v="Yes"/>
    <n v="0"/>
    <s v=""/>
    <x v="1"/>
    <n v="20"/>
    <s v=""/>
    <n v="20"/>
    <n v="0"/>
    <s v="CSC 10"/>
    <x v="0"/>
    <x v="2"/>
    <x v="3"/>
    <x v="20"/>
    <x v="24"/>
    <x v="1"/>
    <n v="13"/>
  </r>
  <r>
    <x v="147"/>
    <x v="145"/>
    <x v="0"/>
    <m/>
    <m/>
    <m/>
    <m/>
    <m/>
    <x v="3"/>
    <n v="0"/>
    <s v="Datacenter"/>
    <s v="No"/>
    <n v="0"/>
    <s v=""/>
    <x v="1"/>
    <n v="20"/>
    <s v=""/>
    <n v="0"/>
    <n v="0"/>
    <s v="CSC 10"/>
    <x v="0"/>
    <x v="22"/>
    <x v="3"/>
    <x v="20"/>
    <x v="24"/>
    <x v="0"/>
    <s v=""/>
  </r>
  <r>
    <x v="148"/>
    <x v="146"/>
    <x v="0"/>
    <m/>
    <m/>
    <m/>
    <m/>
    <m/>
    <x v="3"/>
    <n v="0"/>
    <s v="Datacenter"/>
    <s v="Yes"/>
    <n v="0"/>
    <s v=""/>
    <x v="1"/>
    <n v="20"/>
    <s v=""/>
    <n v="0"/>
    <n v="0"/>
    <s v="CSC 10"/>
    <x v="0"/>
    <x v="22"/>
    <x v="3"/>
    <x v="20"/>
    <x v="24"/>
    <x v="0"/>
    <s v=""/>
  </r>
  <r>
    <x v="149"/>
    <x v="147"/>
    <x v="0"/>
    <m/>
    <m/>
    <m/>
    <m/>
    <m/>
    <x v="3"/>
    <n v="0"/>
    <s v="Datacenter"/>
    <s v="Yes"/>
    <n v="0"/>
    <s v=""/>
    <x v="1"/>
    <n v="25"/>
    <s v=""/>
    <n v="0"/>
    <n v="0"/>
    <s v="CSC 10"/>
    <x v="0"/>
    <x v="42"/>
    <x v="3"/>
    <x v="0"/>
    <x v="24"/>
    <x v="1"/>
    <n v="13"/>
  </r>
  <r>
    <x v="150"/>
    <x v="148"/>
    <x v="0"/>
    <m/>
    <m/>
    <m/>
    <m/>
    <m/>
    <x v="3"/>
    <n v="1"/>
    <s v="Datacenter"/>
    <s v="Yes"/>
    <n v="0"/>
    <s v=""/>
    <x v="1"/>
    <n v="20"/>
    <s v=""/>
    <n v="20"/>
    <n v="0"/>
    <s v="CSC 9"/>
    <x v="0"/>
    <x v="26"/>
    <x v="28"/>
    <x v="0"/>
    <x v="0"/>
    <x v="23"/>
    <n v="1"/>
  </r>
  <r>
    <x v="151"/>
    <x v="149"/>
    <x v="0"/>
    <m/>
    <m/>
    <m/>
    <m/>
    <m/>
    <x v="3"/>
    <n v="1"/>
    <s v="Datacenter"/>
    <s v="Yes"/>
    <n v="0"/>
    <s v=""/>
    <x v="1"/>
    <n v="20"/>
    <s v=""/>
    <n v="20"/>
    <n v="0"/>
    <s v="CSC 19"/>
    <x v="0"/>
    <x v="37"/>
    <x v="31"/>
    <x v="38"/>
    <x v="37"/>
    <x v="13"/>
    <n v="11"/>
  </r>
  <r>
    <x v="152"/>
    <x v="150"/>
    <x v="0"/>
    <m/>
    <m/>
    <m/>
    <m/>
    <m/>
    <x v="3"/>
    <n v="0"/>
    <s v="Datacenter"/>
    <s v="Yes"/>
    <n v="0"/>
    <s v=""/>
    <x v="1"/>
    <n v="20"/>
    <s v=""/>
    <n v="0"/>
    <n v="0"/>
    <s v="CSC 19"/>
    <x v="0"/>
    <x v="37"/>
    <x v="31"/>
    <x v="38"/>
    <x v="37"/>
    <x v="13"/>
    <n v="11"/>
  </r>
  <r>
    <x v="153"/>
    <x v="151"/>
    <x v="0"/>
    <m/>
    <m/>
    <m/>
    <m/>
    <m/>
    <x v="3"/>
    <n v="1"/>
    <s v="Datacenter"/>
    <s v="Yes"/>
    <n v="0"/>
    <s v=""/>
    <x v="1"/>
    <n v="20"/>
    <s v=""/>
    <n v="20"/>
    <n v="0"/>
    <s v="CSC 19"/>
    <x v="0"/>
    <x v="37"/>
    <x v="31"/>
    <x v="38"/>
    <x v="37"/>
    <x v="13"/>
    <n v="11"/>
  </r>
  <r>
    <x v="154"/>
    <x v="152"/>
    <x v="0"/>
    <m/>
    <m/>
    <m/>
    <m/>
    <m/>
    <x v="3"/>
    <n v="0"/>
    <s v="Datacenter"/>
    <s v="Yes"/>
    <n v="0"/>
    <s v=""/>
    <x v="1"/>
    <n v="20"/>
    <s v=""/>
    <n v="0"/>
    <n v="0"/>
    <s v="CSC 19"/>
    <x v="0"/>
    <x v="37"/>
    <x v="31"/>
    <x v="38"/>
    <x v="37"/>
    <x v="13"/>
    <n v="11"/>
  </r>
  <r>
    <x v="155"/>
    <x v="153"/>
    <x v="0"/>
    <m/>
    <m/>
    <m/>
    <m/>
    <m/>
    <x v="3"/>
    <n v="0"/>
    <s v="Datacenter"/>
    <s v="Yes"/>
    <n v="0"/>
    <s v=""/>
    <x v="1"/>
    <n v="25"/>
    <s v=""/>
    <n v="0"/>
    <n v="0"/>
    <s v="CSC 19"/>
    <x v="0"/>
    <x v="43"/>
    <x v="0"/>
    <x v="38"/>
    <x v="37"/>
    <x v="2"/>
    <n v="12"/>
  </r>
  <r>
    <x v="156"/>
    <x v="154"/>
    <x v="0"/>
    <m/>
    <m/>
    <m/>
    <m/>
    <m/>
    <x v="3"/>
    <n v="0"/>
    <s v="Datacenter"/>
    <s v="Yes"/>
    <n v="0"/>
    <s v=""/>
    <x v="1"/>
    <n v="20"/>
    <s v=""/>
    <n v="0"/>
    <n v="0"/>
    <s v="CSC 19"/>
    <x v="0"/>
    <x v="43"/>
    <x v="32"/>
    <x v="38"/>
    <x v="37"/>
    <x v="13"/>
    <n v="11"/>
  </r>
  <r>
    <x v="157"/>
    <x v="155"/>
    <x v="0"/>
    <m/>
    <m/>
    <m/>
    <s v="State how many Internet Service Providers (ISPs) provide connectivity to each datacenter where the institution's data will reside. "/>
    <m/>
    <x v="3"/>
    <n v="0"/>
    <s v="Datacenter"/>
    <s v="Yes"/>
    <n v="0"/>
    <s v=""/>
    <x v="1"/>
    <n v="20"/>
    <s v=""/>
    <n v="0"/>
    <n v="0"/>
    <s v="CSC 6, CSC 19"/>
    <x v="0"/>
    <x v="43"/>
    <x v="32"/>
    <x v="38"/>
    <x v="37"/>
    <x v="24"/>
    <s v="11.4, 12.8"/>
  </r>
  <r>
    <x v="158"/>
    <x v="156"/>
    <x v="0"/>
    <s v=" "/>
    <s v=" "/>
    <s v=" "/>
    <s v=" "/>
    <s v=" "/>
    <x v="3"/>
    <n v="0"/>
    <s v="Datacenter"/>
    <s v="Yes"/>
    <n v="0"/>
    <s v=""/>
    <x v="1"/>
    <n v="20"/>
    <s v=""/>
    <n v="0"/>
    <n v="0"/>
    <s v="CSC 6"/>
    <x v="0"/>
    <x v="43"/>
    <x v="33"/>
    <x v="39"/>
    <x v="38"/>
    <x v="25"/>
    <s v="1.1, 10.8, 10.6, 10.3, 10.2, 11.4"/>
  </r>
  <r>
    <x v="159"/>
    <x v="157"/>
    <x v="0"/>
    <s v=" "/>
    <s v=" "/>
    <s v=" "/>
    <s v=" "/>
    <s v=" "/>
    <x v="3"/>
    <n v="0"/>
    <s v="Datacenter"/>
    <s v="Yes"/>
    <n v="0"/>
    <s v=""/>
    <x v="1"/>
    <n v="20"/>
    <s v=""/>
    <n v="0"/>
    <n v="0"/>
    <m/>
    <x v="0"/>
    <x v="0"/>
    <x v="0"/>
    <x v="0"/>
    <x v="0"/>
    <x v="0"/>
    <m/>
  </r>
  <r>
    <x v="160"/>
    <x v="158"/>
    <x v="0"/>
    <s v=" "/>
    <s v=" "/>
    <s v=" "/>
    <s v=" "/>
    <s v=" "/>
    <x v="3"/>
    <n v="0"/>
    <s v="Datacenter"/>
    <s v="Yes"/>
    <n v="0"/>
    <s v=""/>
    <x v="1"/>
    <n v="20"/>
    <s v=""/>
    <n v="0"/>
    <n v="0"/>
    <m/>
    <x v="0"/>
    <x v="0"/>
    <x v="0"/>
    <x v="0"/>
    <x v="0"/>
    <x v="0"/>
    <m/>
  </r>
  <r>
    <x v="161"/>
    <x v="159"/>
    <x v="0"/>
    <m/>
    <m/>
    <m/>
    <m/>
    <m/>
    <x v="3"/>
    <n v="0"/>
    <s v="Datacenter"/>
    <s v="No"/>
    <n v="0"/>
    <s v=""/>
    <x v="1"/>
    <n v="20"/>
    <s v=""/>
    <n v="0"/>
    <n v="0"/>
    <m/>
    <x v="0"/>
    <x v="0"/>
    <x v="0"/>
    <x v="0"/>
    <x v="0"/>
    <x v="0"/>
    <m/>
  </r>
  <r>
    <x v="162"/>
    <x v="160"/>
    <x v="0"/>
    <m/>
    <m/>
    <m/>
    <m/>
    <m/>
    <x v="3"/>
    <n v="1"/>
    <s v="Disaster Recovery Plan"/>
    <s v="Yes"/>
    <n v="0"/>
    <s v=""/>
    <x v="1"/>
    <n v="20"/>
    <s v=""/>
    <n v="20"/>
    <n v="0"/>
    <s v="CSC 18"/>
    <x v="0"/>
    <x v="0"/>
    <x v="0"/>
    <x v="0"/>
    <x v="0"/>
    <x v="0"/>
    <s v=""/>
  </r>
  <r>
    <x v="163"/>
    <x v="161"/>
    <x v="0"/>
    <m/>
    <m/>
    <m/>
    <m/>
    <m/>
    <x v="3"/>
    <n v="1"/>
    <s v="Disaster Recovery Plan"/>
    <s v="Yes"/>
    <n v="0"/>
    <s v=""/>
    <x v="1"/>
    <n v="15"/>
    <s v=""/>
    <n v="15"/>
    <n v="0"/>
    <s v="CSC 3"/>
    <x v="0"/>
    <x v="0"/>
    <x v="34"/>
    <x v="0"/>
    <x v="0"/>
    <x v="0"/>
    <s v=""/>
  </r>
  <r>
    <x v="164"/>
    <x v="162"/>
    <x v="0"/>
    <m/>
    <m/>
    <m/>
    <m/>
    <m/>
    <x v="4"/>
    <n v="1"/>
    <s v="Disaster Recovery Plan"/>
    <s v="No"/>
    <n v="0"/>
    <s v=""/>
    <x v="1"/>
    <n v="25"/>
    <s v=""/>
    <n v="25"/>
    <n v="0"/>
    <s v="CSC 18"/>
    <x v="0"/>
    <x v="0"/>
    <x v="34"/>
    <x v="0"/>
    <x v="0"/>
    <x v="0"/>
    <s v=""/>
  </r>
  <r>
    <x v="165"/>
    <x v="163"/>
    <x v="0"/>
    <m/>
    <m/>
    <m/>
    <m/>
    <m/>
    <x v="3"/>
    <n v="1"/>
    <s v="Disaster Recovery Plan"/>
    <s v="Yes"/>
    <n v="0"/>
    <s v=""/>
    <x v="1"/>
    <n v="20"/>
    <s v=""/>
    <n v="20"/>
    <n v="0"/>
    <s v="CSC 13, CSC 18"/>
    <x v="0"/>
    <x v="44"/>
    <x v="35"/>
    <x v="0"/>
    <x v="0"/>
    <x v="0"/>
    <s v=""/>
  </r>
  <r>
    <x v="166"/>
    <x v="164"/>
    <x v="0"/>
    <m/>
    <m/>
    <m/>
    <m/>
    <m/>
    <x v="3"/>
    <n v="1"/>
    <s v="Disaster Recovery Plan"/>
    <s v="Yes"/>
    <n v="0"/>
    <s v=""/>
    <x v="1"/>
    <n v="20"/>
    <s v=""/>
    <n v="20"/>
    <n v="0"/>
    <s v="CSC 13"/>
    <x v="0"/>
    <x v="45"/>
    <x v="35"/>
    <x v="40"/>
    <x v="39"/>
    <x v="26"/>
    <n v="4"/>
  </r>
  <r>
    <x v="167"/>
    <x v="165"/>
    <x v="0"/>
    <m/>
    <m/>
    <m/>
    <m/>
    <m/>
    <x v="3"/>
    <n v="0"/>
    <s v="Disaster Recovery Plan"/>
    <s v="Yes"/>
    <n v="0"/>
    <s v=""/>
    <x v="1"/>
    <n v="20"/>
    <s v=""/>
    <n v="0"/>
    <n v="0"/>
    <s v="CSC 14"/>
    <x v="0"/>
    <x v="45"/>
    <x v="36"/>
    <x v="0"/>
    <x v="0"/>
    <x v="0"/>
    <s v=""/>
  </r>
  <r>
    <x v="168"/>
    <x v="166"/>
    <x v="0"/>
    <m/>
    <m/>
    <m/>
    <m/>
    <m/>
    <x v="3"/>
    <n v="1"/>
    <s v="Disaster Recovery Plan"/>
    <s v="Yes"/>
    <n v="0"/>
    <s v=""/>
    <x v="1"/>
    <n v="20"/>
    <s v=""/>
    <n v="20"/>
    <n v="0"/>
    <s v="CSC 16"/>
    <x v="0"/>
    <x v="46"/>
    <x v="0"/>
    <x v="0"/>
    <x v="0"/>
    <x v="0"/>
    <s v=""/>
  </r>
  <r>
    <x v="169"/>
    <x v="167"/>
    <x v="0"/>
    <m/>
    <m/>
    <m/>
    <m/>
    <m/>
    <x v="3"/>
    <n v="1"/>
    <s v="Disaster Recovery Plan"/>
    <s v="Yes"/>
    <n v="0"/>
    <s v=""/>
    <x v="1"/>
    <n v="20"/>
    <s v=""/>
    <n v="20"/>
    <n v="0"/>
    <s v="CSC 16"/>
    <x v="0"/>
    <x v="0"/>
    <x v="0"/>
    <x v="0"/>
    <x v="0"/>
    <x v="0"/>
    <s v=""/>
  </r>
  <r>
    <x v="170"/>
    <x v="168"/>
    <x v="0"/>
    <m/>
    <m/>
    <m/>
    <m/>
    <m/>
    <x v="3"/>
    <n v="1"/>
    <s v="Disaster Recovery Plan"/>
    <s v="Yes"/>
    <n v="0"/>
    <s v=""/>
    <x v="1"/>
    <n v="20"/>
    <s v=""/>
    <n v="20"/>
    <n v="0"/>
    <s v="CSC 18"/>
    <x v="0"/>
    <x v="47"/>
    <x v="34"/>
    <x v="0"/>
    <x v="0"/>
    <x v="0"/>
    <s v=""/>
  </r>
  <r>
    <x v="171"/>
    <x v="169"/>
    <x v="0"/>
    <m/>
    <m/>
    <s v="Please provide a summary of the results in Additional Information (including actual recovery time)."/>
    <m/>
    <m/>
    <x v="4"/>
    <n v="1"/>
    <s v="Disaster Recovery Plan"/>
    <s v="Yes"/>
    <n v="0"/>
    <s v=""/>
    <x v="1"/>
    <n v="25"/>
    <s v=""/>
    <n v="25"/>
    <n v="0"/>
    <s v="CSC 18"/>
    <x v="0"/>
    <x v="48"/>
    <x v="37"/>
    <x v="0"/>
    <x v="0"/>
    <x v="0"/>
    <s v=""/>
  </r>
  <r>
    <x v="172"/>
    <x v="170"/>
    <x v="0"/>
    <m/>
    <m/>
    <m/>
    <m/>
    <m/>
    <x v="3"/>
    <n v="0"/>
    <s v="Disaster Recovery Plan"/>
    <s v="Yes"/>
    <n v="0"/>
    <s v=""/>
    <x v="1"/>
    <n v="25"/>
    <s v=""/>
    <n v="0"/>
    <n v="0"/>
    <s v="CSC 18"/>
    <x v="0"/>
    <x v="48"/>
    <x v="37"/>
    <x v="0"/>
    <x v="0"/>
    <x v="0"/>
    <s v=""/>
  </r>
  <r>
    <x v="173"/>
    <x v="171"/>
    <x v="0"/>
    <m/>
    <m/>
    <m/>
    <m/>
    <m/>
    <x v="4"/>
    <n v="1"/>
    <s v="Firewalls, IDS, IPS, and Networking"/>
    <s v="Yes"/>
    <n v="0"/>
    <s v=""/>
    <x v="1"/>
    <n v="25"/>
    <m/>
    <n v="25"/>
    <n v="0"/>
    <s v="CSC 9"/>
    <x v="0"/>
    <x v="49"/>
    <x v="38"/>
    <x v="0"/>
    <x v="0"/>
    <x v="23"/>
    <m/>
  </r>
  <r>
    <x v="174"/>
    <x v="172"/>
    <x v="0"/>
    <m/>
    <m/>
    <m/>
    <m/>
    <m/>
    <x v="3"/>
    <n v="1"/>
    <s v="Firewalls, IDS, IPS, and Networking"/>
    <s v="Yes"/>
    <n v="0"/>
    <s v=""/>
    <x v="1"/>
    <n v="20"/>
    <m/>
    <n v="20"/>
    <n v="0"/>
    <s v="CSC 9"/>
    <x v="0"/>
    <x v="50"/>
    <x v="28"/>
    <x v="0"/>
    <x v="0"/>
    <x v="23"/>
    <m/>
  </r>
  <r>
    <x v="175"/>
    <x v="173"/>
    <x v="0"/>
    <m/>
    <m/>
    <m/>
    <m/>
    <m/>
    <x v="4"/>
    <n v="1"/>
    <s v="Firewalls, IDS, IPS, and Networking"/>
    <s v="Yes"/>
    <n v="0"/>
    <s v=""/>
    <x v="1"/>
    <n v="25"/>
    <m/>
    <n v="25"/>
    <n v="0"/>
    <s v="CSC 9"/>
    <x v="0"/>
    <x v="26"/>
    <x v="28"/>
    <x v="0"/>
    <x v="0"/>
    <x v="23"/>
    <m/>
  </r>
  <r>
    <x v="176"/>
    <x v="174"/>
    <x v="0"/>
    <m/>
    <m/>
    <m/>
    <m/>
    <m/>
    <x v="4"/>
    <n v="1"/>
    <s v="Firewalls, IDS, IPS, and Networking"/>
    <s v="Yes"/>
    <n v="0"/>
    <s v=""/>
    <x v="1"/>
    <n v="25"/>
    <m/>
    <n v="25"/>
    <n v="0"/>
    <s v="CSC 19"/>
    <x v="0"/>
    <x v="37"/>
    <x v="31"/>
    <x v="38"/>
    <x v="37"/>
    <x v="13"/>
    <m/>
  </r>
  <r>
    <x v="177"/>
    <x v="175"/>
    <x v="0"/>
    <m/>
    <m/>
    <m/>
    <m/>
    <m/>
    <x v="3"/>
    <n v="1"/>
    <s v="Firewalls, IDS, IPS, and Networking"/>
    <s v="Yes"/>
    <n v="0"/>
    <s v=""/>
    <x v="1"/>
    <n v="20"/>
    <m/>
    <n v="20"/>
    <n v="0"/>
    <s v="CSC 19"/>
    <x v="0"/>
    <x v="37"/>
    <x v="31"/>
    <x v="38"/>
    <x v="37"/>
    <x v="13"/>
    <m/>
  </r>
  <r>
    <x v="178"/>
    <x v="176"/>
    <x v="0"/>
    <m/>
    <m/>
    <m/>
    <m/>
    <m/>
    <x v="4"/>
    <n v="1"/>
    <s v="Firewalls, IDS, IPS, and Networking"/>
    <s v="Yes"/>
    <n v="0"/>
    <s v=""/>
    <x v="1"/>
    <n v="25"/>
    <m/>
    <n v="25"/>
    <n v="0"/>
    <s v="CSC 19"/>
    <x v="0"/>
    <x v="37"/>
    <x v="31"/>
    <x v="38"/>
    <x v="37"/>
    <x v="13"/>
    <m/>
  </r>
  <r>
    <x v="179"/>
    <x v="177"/>
    <x v="0"/>
    <m/>
    <m/>
    <m/>
    <m/>
    <m/>
    <x v="3"/>
    <n v="1"/>
    <s v="Firewalls, IDS, IPS, and Networking"/>
    <s v="Yes"/>
    <n v="0"/>
    <s v=""/>
    <x v="1"/>
    <n v="20"/>
    <m/>
    <n v="20"/>
    <n v="0"/>
    <s v="CSC 19"/>
    <x v="0"/>
    <x v="37"/>
    <x v="31"/>
    <x v="38"/>
    <x v="37"/>
    <x v="13"/>
    <m/>
  </r>
  <r>
    <x v="180"/>
    <x v="178"/>
    <x v="0"/>
    <m/>
    <m/>
    <m/>
    <m/>
    <m/>
    <x v="3"/>
    <n v="1"/>
    <s v="Firewalls, IDS, IPS, and Networking"/>
    <s v="Yes"/>
    <n v="0"/>
    <s v=""/>
    <x v="1"/>
    <n v="20"/>
    <m/>
    <n v="20"/>
    <n v="0"/>
    <s v="CSC 19"/>
    <x v="0"/>
    <x v="43"/>
    <x v="0"/>
    <x v="38"/>
    <x v="37"/>
    <x v="2"/>
    <m/>
  </r>
  <r>
    <x v="181"/>
    <x v="179"/>
    <x v="0"/>
    <m/>
    <m/>
    <m/>
    <m/>
    <m/>
    <x v="3"/>
    <n v="1"/>
    <s v="Firewalls, IDS, IPS, and Networking"/>
    <s v="Yes"/>
    <n v="0"/>
    <s v=""/>
    <x v="1"/>
    <n v="15"/>
    <m/>
    <n v="15"/>
    <n v="0"/>
    <s v="CSC 19"/>
    <x v="0"/>
    <x v="43"/>
    <x v="32"/>
    <x v="38"/>
    <x v="37"/>
    <x v="13"/>
    <m/>
  </r>
  <r>
    <x v="182"/>
    <x v="180"/>
    <x v="0"/>
    <m/>
    <m/>
    <m/>
    <m/>
    <m/>
    <x v="3"/>
    <n v="1"/>
    <s v="Firewalls, IDS, IPS, and Networking"/>
    <s v="Yes"/>
    <n v="0"/>
    <s v=""/>
    <x v="1"/>
    <n v="20"/>
    <m/>
    <n v="20"/>
    <n v="0"/>
    <s v="CSC 6, CSC 19"/>
    <x v="0"/>
    <x v="43"/>
    <x v="32"/>
    <x v="38"/>
    <x v="37"/>
    <x v="24"/>
    <m/>
  </r>
  <r>
    <x v="183"/>
    <x v="181"/>
    <x v="0"/>
    <m/>
    <m/>
    <m/>
    <m/>
    <m/>
    <x v="4"/>
    <n v="1"/>
    <s v="Firewalls, IDS, IPS, and Networking"/>
    <s v="Yes"/>
    <n v="0"/>
    <s v=""/>
    <x v="1"/>
    <n v="25"/>
    <m/>
    <n v="25"/>
    <n v="0"/>
    <s v="CSC 6"/>
    <x v="0"/>
    <x v="43"/>
    <x v="33"/>
    <x v="39"/>
    <x v="38"/>
    <x v="25"/>
    <m/>
  </r>
  <r>
    <x v="184"/>
    <x v="182"/>
    <x v="0"/>
    <m/>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3"/>
    <n v="1"/>
    <s v="Policies, Procedures, and Processes"/>
    <s v="Yes"/>
    <n v="0"/>
    <s v=""/>
    <x v="1"/>
    <n v="20"/>
    <s v=""/>
    <n v="20"/>
    <n v="0"/>
    <m/>
    <x v="0"/>
    <x v="0"/>
    <x v="0"/>
    <x v="0"/>
    <x v="0"/>
    <x v="0"/>
    <s v=""/>
  </r>
  <r>
    <x v="185"/>
    <x v="183"/>
    <x v="0"/>
    <m/>
    <m/>
    <m/>
    <m/>
    <m/>
    <x v="4"/>
    <n v="1"/>
    <s v="Policies, Procedures, and Processes"/>
    <s v="Yes"/>
    <n v="0"/>
    <s v=""/>
    <x v="1"/>
    <n v="25"/>
    <s v=""/>
    <n v="25"/>
    <n v="0"/>
    <s v="CSC 17"/>
    <x v="0"/>
    <x v="0"/>
    <x v="0"/>
    <x v="0"/>
    <x v="0"/>
    <x v="0"/>
    <s v=""/>
  </r>
  <r>
    <x v="186"/>
    <x v="184"/>
    <x v="0"/>
    <m/>
    <m/>
    <m/>
    <m/>
    <m/>
    <x v="3"/>
    <n v="1"/>
    <s v="Policies, Procedures, and Processes"/>
    <s v="Yes"/>
    <n v="0"/>
    <s v=""/>
    <x v="1"/>
    <n v="20"/>
    <s v=""/>
    <n v="20"/>
    <n v="0"/>
    <s v="CSC 12"/>
    <x v="0"/>
    <x v="49"/>
    <x v="39"/>
    <x v="36"/>
    <x v="8"/>
    <x v="0"/>
    <s v=""/>
  </r>
  <r>
    <x v="187"/>
    <x v="185"/>
    <x v="0"/>
    <m/>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3"/>
    <n v="1"/>
    <s v="Policies, Procedures, and Processes"/>
    <s v="Yes"/>
    <n v="0"/>
    <s v=""/>
    <x v="1"/>
    <n v="15"/>
    <s v=""/>
    <n v="15"/>
    <n v="0"/>
    <s v="CSC 4"/>
    <x v="0"/>
    <x v="21"/>
    <x v="16"/>
    <x v="19"/>
    <x v="21"/>
    <x v="13"/>
    <n v="11"/>
  </r>
  <r>
    <x v="188"/>
    <x v="186"/>
    <x v="0"/>
    <m/>
    <m/>
    <m/>
    <m/>
    <m/>
    <x v="3"/>
    <n v="1"/>
    <s v="Policies, Procedures, and Processes"/>
    <s v="Yes"/>
    <n v="0"/>
    <s v=""/>
    <x v="1"/>
    <n v="20"/>
    <s v=""/>
    <n v="20"/>
    <n v="0"/>
    <s v="CSC 4"/>
    <x v="0"/>
    <x v="0"/>
    <x v="16"/>
    <x v="19"/>
    <x v="21"/>
    <x v="13"/>
    <n v="11"/>
  </r>
  <r>
    <x v="189"/>
    <x v="187"/>
    <x v="0"/>
    <m/>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3"/>
    <n v="1"/>
    <s v="Policies, Procedures, and Processes"/>
    <s v="Yes"/>
    <n v="0"/>
    <s v=""/>
    <x v="1"/>
    <n v="15"/>
    <s v=""/>
    <n v="15"/>
    <n v="0"/>
    <s v="CSC 4"/>
    <x v="0"/>
    <x v="0"/>
    <x v="16"/>
    <x v="19"/>
    <x v="21"/>
    <x v="13"/>
    <n v="11"/>
  </r>
  <r>
    <x v="190"/>
    <x v="188"/>
    <x v="0"/>
    <m/>
    <m/>
    <m/>
    <m/>
    <m/>
    <x v="3"/>
    <n v="1"/>
    <s v="Policies, Procedures, and Processes"/>
    <s v="Yes"/>
    <n v="0"/>
    <s v=""/>
    <x v="1"/>
    <n v="15"/>
    <s v=""/>
    <n v="15"/>
    <n v="0"/>
    <s v="CSC 4"/>
    <x v="0"/>
    <x v="0"/>
    <x v="16"/>
    <x v="0"/>
    <x v="21"/>
    <x v="13"/>
    <n v="11"/>
  </r>
  <r>
    <x v="191"/>
    <x v="189"/>
    <x v="0"/>
    <m/>
    <m/>
    <m/>
    <m/>
    <m/>
    <x v="4"/>
    <n v="1"/>
    <s v="Policies, Procedures, and Processes"/>
    <s v="Yes"/>
    <n v="0"/>
    <s v=""/>
    <x v="1"/>
    <n v="25"/>
    <s v=""/>
    <n v="25"/>
    <n v="0"/>
    <s v="CSC 4"/>
    <x v="0"/>
    <x v="0"/>
    <x v="16"/>
    <x v="19"/>
    <x v="21"/>
    <x v="13"/>
    <n v="11"/>
  </r>
  <r>
    <x v="192"/>
    <x v="190"/>
    <x v="0"/>
    <m/>
    <m/>
    <m/>
    <m/>
    <m/>
    <x v="4"/>
    <n v="1"/>
    <s v="Policies, Procedures, and Processes"/>
    <s v="Yes"/>
    <n v="0"/>
    <s v=""/>
    <x v="1"/>
    <n v="25"/>
    <s v=""/>
    <n v="25"/>
    <n v="0"/>
    <s v="CSC 4"/>
    <x v="0"/>
    <x v="0"/>
    <x v="16"/>
    <x v="0"/>
    <x v="21"/>
    <x v="13"/>
    <n v="11"/>
  </r>
  <r>
    <x v="193"/>
    <x v="191"/>
    <x v="0"/>
    <m/>
    <m/>
    <m/>
    <m/>
    <m/>
    <x v="3"/>
    <n v="1"/>
    <s v="Policies, Procedures, and Processes"/>
    <s v="Yes"/>
    <n v="0"/>
    <s v=""/>
    <x v="1"/>
    <n v="20"/>
    <s v=""/>
    <n v="20"/>
    <n v="0"/>
    <s v="CSC 7, CSC 18"/>
    <x v="0"/>
    <x v="21"/>
    <x v="40"/>
    <x v="41"/>
    <x v="21"/>
    <x v="27"/>
    <s v="11.2, 11.3"/>
  </r>
  <r>
    <x v="194"/>
    <x v="192"/>
    <x v="0"/>
    <m/>
    <m/>
    <m/>
    <m/>
    <m/>
    <x v="3"/>
    <n v="1"/>
    <s v="Policies, Procedures, and Processes"/>
    <s v="Yes"/>
    <n v="0"/>
    <s v=""/>
    <x v="1"/>
    <n v="20"/>
    <s v=""/>
    <n v="20"/>
    <n v="0"/>
    <s v="CSC 20"/>
    <x v="0"/>
    <x v="51"/>
    <x v="16"/>
    <x v="19"/>
    <x v="21"/>
    <x v="28"/>
    <s v="11.2, 12.8"/>
  </r>
  <r>
    <x v="195"/>
    <x v="193"/>
    <x v="0"/>
    <m/>
    <s v="State plans to implement information security policy at your company."/>
    <s v="Provide a reference to your information security policy or submit documentation with this fully-populated HECVAT-Lite."/>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3"/>
    <n v="1"/>
    <s v="Policies, Procedures, and Processes"/>
    <s v="Yes"/>
    <n v="0"/>
    <s v=""/>
    <x v="1"/>
    <n v="20"/>
    <s v=""/>
    <n v="20"/>
    <n v="0"/>
    <s v="CSC 17"/>
    <x v="6"/>
    <x v="52"/>
    <x v="1"/>
    <x v="42"/>
    <x v="40"/>
    <x v="0"/>
    <s v=""/>
  </r>
  <r>
    <x v="196"/>
    <x v="194"/>
    <x v="0"/>
    <m/>
    <m/>
    <m/>
    <m/>
    <m/>
    <x v="3"/>
    <n v="1"/>
    <s v="Policies, Procedures, and Processes"/>
    <s v="Yes"/>
    <n v="0"/>
    <s v=""/>
    <x v="1"/>
    <n v="15"/>
    <s v=""/>
    <n v="15"/>
    <n v="0"/>
    <s v="CSC 13"/>
    <x v="7"/>
    <x v="1"/>
    <x v="1"/>
    <x v="0"/>
    <x v="0"/>
    <x v="0"/>
    <s v=""/>
  </r>
  <r>
    <x v="197"/>
    <x v="195"/>
    <x v="0"/>
    <m/>
    <m/>
    <m/>
    <m/>
    <m/>
    <x v="3"/>
    <n v="1"/>
    <s v="Policies, Procedures, and Processes"/>
    <s v="Yes"/>
    <n v="0"/>
    <s v=""/>
    <x v="1"/>
    <n v="15"/>
    <s v=""/>
    <n v="15"/>
    <n v="0"/>
    <s v="CSC 17"/>
    <x v="8"/>
    <x v="1"/>
    <x v="1"/>
    <x v="0"/>
    <x v="0"/>
    <x v="0"/>
    <s v=""/>
  </r>
  <r>
    <x v="198"/>
    <x v="196"/>
    <x v="0"/>
    <m/>
    <m/>
    <m/>
    <m/>
    <m/>
    <x v="3"/>
    <n v="1"/>
    <s v="Policies, Procedures, and Processes"/>
    <s v="Yes"/>
    <n v="0"/>
    <s v=""/>
    <x v="1"/>
    <n v="15"/>
    <s v=""/>
    <n v="15"/>
    <n v="0"/>
    <s v="CSC 13"/>
    <x v="0"/>
    <x v="1"/>
    <x v="1"/>
    <x v="0"/>
    <x v="0"/>
    <x v="0"/>
    <s v=""/>
  </r>
  <r>
    <x v="199"/>
    <x v="197"/>
    <x v="0"/>
    <m/>
    <m/>
    <m/>
    <m/>
    <m/>
    <x v="3"/>
    <n v="1"/>
    <s v="Policies, Procedures, and Processes"/>
    <s v="Yes"/>
    <n v="0"/>
    <s v=""/>
    <x v="1"/>
    <n v="15"/>
    <s v=""/>
    <n v="15"/>
    <n v="0"/>
    <s v="CSC 19"/>
    <x v="9"/>
    <x v="53"/>
    <x v="1"/>
    <x v="43"/>
    <x v="41"/>
    <x v="29"/>
    <s v="12.10, 10.10"/>
  </r>
  <r>
    <x v="200"/>
    <x v="198"/>
    <x v="0"/>
    <m/>
    <m/>
    <m/>
    <m/>
    <m/>
    <x v="3"/>
    <n v="1"/>
    <s v="Policies, Procedures, and Processes"/>
    <s v="Yes"/>
    <n v="0"/>
    <s v=""/>
    <x v="1"/>
    <n v="15"/>
    <s v=""/>
    <n v="15"/>
    <n v="0"/>
    <s v="CSC 19"/>
    <x v="9"/>
    <x v="53"/>
    <x v="1"/>
    <x v="43"/>
    <x v="41"/>
    <x v="29"/>
    <s v="12.10, 10.10"/>
  </r>
  <r>
    <x v="201"/>
    <x v="187"/>
    <x v="0"/>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3"/>
    <n v="1"/>
    <s v="Incident Handling"/>
    <s v="Yes"/>
    <n v="0"/>
    <s v=""/>
    <x v="1"/>
    <n v="15"/>
    <s v=""/>
    <n v="15"/>
    <n v="0"/>
    <s v="CSC 19"/>
    <x v="10"/>
    <x v="54"/>
    <x v="1"/>
    <x v="44"/>
    <x v="42"/>
    <x v="1"/>
    <n v="13"/>
  </r>
  <r>
    <x v="202"/>
    <x v="199"/>
    <x v="0"/>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3"/>
    <n v="1"/>
    <s v="Incident Handling"/>
    <s v="Yes"/>
    <n v="0"/>
    <s v=""/>
    <x v="1"/>
    <n v="15"/>
    <s v=""/>
    <n v="15"/>
    <n v="0"/>
    <s v="CSC 19"/>
    <x v="10"/>
    <x v="54"/>
    <x v="1"/>
    <x v="44"/>
    <x v="42"/>
    <x v="1"/>
    <n v="13"/>
  </r>
  <r>
    <x v="203"/>
    <x v="200"/>
    <x v="0"/>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3"/>
    <n v="1"/>
    <s v="Incident Handling"/>
    <s v="Yes"/>
    <n v="0"/>
    <s v=""/>
    <x v="1"/>
    <n v="15"/>
    <s v=""/>
    <n v="15"/>
    <n v="0"/>
    <s v="CSC 13"/>
    <x v="11"/>
    <x v="0"/>
    <x v="1"/>
    <x v="0"/>
    <x v="0"/>
    <x v="2"/>
    <n v="12"/>
  </r>
  <r>
    <x v="204"/>
    <x v="201"/>
    <x v="3"/>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0"/>
    <m/>
    <s v="Incident Handling"/>
    <s v="Yes"/>
    <n v="0"/>
    <m/>
    <x v="0"/>
    <m/>
    <m/>
    <m/>
    <m/>
    <m/>
    <x v="0"/>
    <x v="0"/>
    <x v="0"/>
    <x v="0"/>
    <x v="0"/>
    <x v="0"/>
    <m/>
  </r>
  <r>
    <x v="205"/>
    <x v="202"/>
    <x v="0"/>
    <m/>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3"/>
    <n v="1"/>
    <s v="Quality Assurance"/>
    <s v="Yes"/>
    <n v="0"/>
    <s v=""/>
    <x v="1"/>
    <n v="10"/>
    <s v=""/>
    <n v="10"/>
    <n v="0"/>
    <s v="CSC 16"/>
    <x v="12"/>
    <x v="19"/>
    <x v="1"/>
    <x v="12"/>
    <x v="16"/>
    <x v="0"/>
    <s v=""/>
  </r>
  <r>
    <x v="206"/>
    <x v="203"/>
    <x v="0"/>
    <m/>
    <m/>
    <m/>
    <m/>
    <m/>
    <x v="3"/>
    <n v="1"/>
    <s v="Quality Assurance"/>
    <s v="Yes"/>
    <n v="0"/>
    <s v=""/>
    <x v="1"/>
    <n v="15"/>
    <s v=""/>
    <n v="15"/>
    <n v="0"/>
    <s v="CSC 16"/>
    <x v="12"/>
    <x v="19"/>
    <x v="1"/>
    <x v="45"/>
    <x v="17"/>
    <x v="0"/>
    <s v=""/>
  </r>
  <r>
    <x v="207"/>
    <x v="204"/>
    <x v="0"/>
    <m/>
    <m/>
    <m/>
    <m/>
    <m/>
    <x v="3"/>
    <n v="1"/>
    <s v="Quality Assurance"/>
    <s v="Yes"/>
    <n v="0"/>
    <s v=""/>
    <x v="1"/>
    <n v="20"/>
    <s v=""/>
    <n v="20"/>
    <n v="0"/>
    <s v="CSC 16"/>
    <x v="13"/>
    <x v="19"/>
    <x v="1"/>
    <x v="46"/>
    <x v="43"/>
    <x v="0"/>
    <s v=""/>
  </r>
  <r>
    <x v="208"/>
    <x v="205"/>
    <x v="0"/>
    <m/>
    <m/>
    <s v="Provide a list of higher ed references or a route for campuses to request references"/>
    <m/>
    <m/>
    <x v="4"/>
    <n v="1"/>
    <s v="Quality Assurance"/>
    <s v="Yes"/>
    <n v="0"/>
    <s v=""/>
    <x v="1"/>
    <n v="25"/>
    <s v=""/>
    <n v="25"/>
    <n v="0"/>
    <s v="CSC 16"/>
    <x v="14"/>
    <x v="19"/>
    <x v="1"/>
    <x v="47"/>
    <x v="44"/>
    <x v="11"/>
    <s v="8.x"/>
  </r>
  <r>
    <x v="209"/>
    <x v="206"/>
    <x v="0"/>
    <m/>
    <m/>
    <m/>
    <m/>
    <m/>
    <x v="3"/>
    <n v="1"/>
    <s v="Quality Assurance"/>
    <s v="Yes"/>
    <n v="0"/>
    <s v=""/>
    <x v="1"/>
    <n v="20"/>
    <s v=""/>
    <n v="20"/>
    <n v="0"/>
    <s v="CSC 16"/>
    <x v="15"/>
    <x v="19"/>
    <x v="1"/>
    <x v="48"/>
    <x v="17"/>
    <x v="11"/>
    <s v="8.x"/>
  </r>
  <r>
    <x v="210"/>
    <x v="207"/>
    <x v="0"/>
    <m/>
    <m/>
    <m/>
    <m/>
    <m/>
    <x v="3"/>
    <n v="1"/>
    <s v="Vulnerability Scanning"/>
    <s v="Yes"/>
    <n v="0"/>
    <s v=""/>
    <x v="1"/>
    <n v="15"/>
    <s v=""/>
    <n v="15"/>
    <n v="0"/>
    <s v="CSC 16"/>
    <x v="16"/>
    <x v="32"/>
    <x v="1"/>
    <x v="0"/>
    <x v="0"/>
    <x v="0"/>
    <s v=""/>
  </r>
  <r>
    <x v="211"/>
    <x v="208"/>
    <x v="0"/>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3"/>
    <n v="0"/>
    <s v="Vulnerability Scanning"/>
    <s v="Yes"/>
    <n v="0"/>
    <s v=""/>
    <x v="1"/>
    <n v="20"/>
    <s v=""/>
    <n v="0"/>
    <n v="0"/>
    <s v="CSC 6, CSC 16"/>
    <x v="16"/>
    <x v="0"/>
    <x v="1"/>
    <x v="39"/>
    <x v="45"/>
    <x v="11"/>
    <s v="8.x"/>
  </r>
  <r>
    <x v="212"/>
    <x v="209"/>
    <x v="0"/>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4"/>
    <n v="1"/>
    <s v="Vulnerability Scanning"/>
    <s v="Yes"/>
    <n v="0"/>
    <s v=""/>
    <x v="1"/>
    <n v="25"/>
    <s v=""/>
    <n v="25"/>
    <n v="0"/>
    <s v="CSC 6"/>
    <x v="17"/>
    <x v="43"/>
    <x v="1"/>
    <x v="49"/>
    <x v="46"/>
    <x v="13"/>
    <n v="11"/>
  </r>
  <r>
    <x v="213"/>
    <x v="210"/>
    <x v="0"/>
    <m/>
    <m/>
    <m/>
    <m/>
    <m/>
    <x v="4"/>
    <n v="1"/>
    <s v="Vulnerability Scanning"/>
    <s v="Yes"/>
    <n v="0"/>
    <s v=""/>
    <x v="1"/>
    <n v="25"/>
    <s v=""/>
    <n v="25"/>
    <n v="0"/>
    <s v="CSC 6"/>
    <x v="18"/>
    <x v="43"/>
    <x v="1"/>
    <x v="0"/>
    <x v="0"/>
    <x v="13"/>
    <n v="11"/>
  </r>
  <r>
    <x v="214"/>
    <x v="211"/>
    <x v="0"/>
    <m/>
    <m/>
    <m/>
    <m/>
    <m/>
    <x v="3"/>
    <n v="1"/>
    <s v="Vulnerability Scanning"/>
    <s v="Yes"/>
    <n v="0"/>
    <s v=""/>
    <x v="1"/>
    <n v="20"/>
    <s v=""/>
    <n v="20"/>
    <n v="0"/>
    <s v="CSC 10"/>
    <x v="19"/>
    <x v="1"/>
    <x v="1"/>
    <x v="0"/>
    <x v="0"/>
    <x v="13"/>
    <n v="11"/>
  </r>
  <r>
    <x v="215"/>
    <x v="212"/>
    <x v="0"/>
    <m/>
    <m/>
    <m/>
    <m/>
    <m/>
    <x v="4"/>
    <n v="1"/>
    <s v="Vulnerability Scanning"/>
    <s v="Yes"/>
    <n v="0"/>
    <s v=""/>
    <x v="1"/>
    <n v="25"/>
    <s v=""/>
    <n v="25"/>
    <n v="0"/>
    <s v="CSC 10"/>
    <x v="20"/>
    <x v="41"/>
    <x v="1"/>
    <x v="20"/>
    <x v="0"/>
    <x v="2"/>
    <n v="12"/>
  </r>
  <r>
    <x v="216"/>
    <x v="213"/>
    <x v="0"/>
    <m/>
    <m/>
    <m/>
    <m/>
    <m/>
    <x v="4"/>
    <n v="1"/>
    <s v="HIPAA"/>
    <s v="Yes"/>
    <n v="0"/>
    <s v=""/>
    <x v="1"/>
    <n v="25"/>
    <s v=""/>
    <n v="25"/>
    <n v="0"/>
    <s v="CSC 10"/>
    <x v="20"/>
    <x v="22"/>
    <x v="1"/>
    <x v="50"/>
    <x v="0"/>
    <x v="2"/>
    <n v="12"/>
  </r>
  <r>
    <x v="217"/>
    <x v="214"/>
    <x v="0"/>
    <m/>
    <m/>
    <m/>
    <m/>
    <m/>
    <x v="3"/>
    <n v="1"/>
    <s v="HIPAA"/>
    <s v="Yes"/>
    <n v="0"/>
    <s v=""/>
    <x v="1"/>
    <n v="20"/>
    <s v=""/>
    <n v="20"/>
    <n v="0"/>
    <s v="CSC 10"/>
    <x v="21"/>
    <x v="1"/>
    <x v="1"/>
    <x v="0"/>
    <x v="0"/>
    <x v="13"/>
    <n v="11"/>
  </r>
  <r>
    <x v="218"/>
    <x v="215"/>
    <x v="0"/>
    <m/>
    <m/>
    <m/>
    <m/>
    <m/>
    <x v="3"/>
    <n v="1"/>
    <s v="HIPAA"/>
    <s v="Yes"/>
    <n v="0"/>
    <s v=""/>
    <x v="1"/>
    <n v="20"/>
    <s v=""/>
    <n v="20"/>
    <n v="0"/>
    <s v="CSC 10"/>
    <x v="22"/>
    <x v="1"/>
    <x v="1"/>
    <x v="0"/>
    <x v="0"/>
    <x v="0"/>
    <s v=""/>
  </r>
  <r>
    <x v="219"/>
    <x v="216"/>
    <x v="0"/>
    <m/>
    <m/>
    <m/>
    <m/>
    <m/>
    <x v="3"/>
    <n v="1"/>
    <s v="HIPAA"/>
    <s v="Yes"/>
    <n v="0"/>
    <s v=""/>
    <x v="1"/>
    <n v="20"/>
    <s v=""/>
    <n v="20"/>
    <n v="0"/>
    <s v="CSC 10"/>
    <x v="23"/>
    <x v="1"/>
    <x v="1"/>
    <x v="0"/>
    <x v="0"/>
    <x v="1"/>
    <n v="13"/>
  </r>
  <r>
    <x v="220"/>
    <x v="217"/>
    <x v="0"/>
    <m/>
    <m/>
    <m/>
    <m/>
    <m/>
    <x v="3"/>
    <n v="1"/>
    <s v="HIPAA"/>
    <s v="Yes"/>
    <n v="0"/>
    <s v=""/>
    <x v="1"/>
    <n v="20"/>
    <s v=""/>
    <n v="20"/>
    <n v="0"/>
    <s v="CSC 10"/>
    <x v="0"/>
    <x v="1"/>
    <x v="1"/>
    <x v="0"/>
    <x v="0"/>
    <x v="1"/>
    <n v="13"/>
  </r>
  <r>
    <x v="221"/>
    <x v="218"/>
    <x v="0"/>
    <m/>
    <m/>
    <m/>
    <m/>
    <m/>
    <x v="4"/>
    <n v="1"/>
    <s v="HIPAA"/>
    <s v="Yes"/>
    <n v="0"/>
    <s v=""/>
    <x v="1"/>
    <n v="25"/>
    <s v=""/>
    <n v="25"/>
    <n v="0"/>
    <m/>
    <x v="0"/>
    <x v="0"/>
    <x v="1"/>
    <x v="0"/>
    <x v="0"/>
    <x v="1"/>
    <n v="13"/>
  </r>
  <r>
    <x v="222"/>
    <x v="219"/>
    <x v="0"/>
    <m/>
    <m/>
    <m/>
    <m/>
    <m/>
    <x v="3"/>
    <n v="1"/>
    <s v="HIPAA"/>
    <s v="Yes"/>
    <n v="0"/>
    <s v=""/>
    <x v="1"/>
    <n v="20"/>
    <s v=""/>
    <n v="20"/>
    <n v="0"/>
    <m/>
    <x v="0"/>
    <x v="0"/>
    <x v="1"/>
    <x v="0"/>
    <x v="0"/>
    <x v="1"/>
    <n v="13"/>
  </r>
  <r>
    <x v="223"/>
    <x v="220"/>
    <x v="0"/>
    <m/>
    <m/>
    <m/>
    <m/>
    <m/>
    <x v="3"/>
    <n v="1"/>
    <s v="HIPAA"/>
    <s v="Yes"/>
    <n v="0"/>
    <s v=""/>
    <x v="1"/>
    <n v="20"/>
    <s v=""/>
    <n v="20"/>
    <n v="0"/>
    <m/>
    <x v="0"/>
    <x v="0"/>
    <x v="1"/>
    <x v="0"/>
    <x v="0"/>
    <x v="1"/>
    <n v="13"/>
  </r>
  <r>
    <x v="224"/>
    <x v="221"/>
    <x v="0"/>
    <m/>
    <m/>
    <m/>
    <m/>
    <m/>
    <x v="3"/>
    <n v="1"/>
    <s v="HIPAA"/>
    <s v="Yes"/>
    <n v="0"/>
    <s v=""/>
    <x v="1"/>
    <n v="20"/>
    <s v=""/>
    <n v="20"/>
    <n v="0"/>
    <s v="CSC 1, CSC 2"/>
    <x v="0"/>
    <x v="0"/>
    <x v="1"/>
    <x v="0"/>
    <x v="0"/>
    <x v="4"/>
    <s v="PCI Scope"/>
  </r>
  <r>
    <x v="225"/>
    <x v="222"/>
    <x v="0"/>
    <m/>
    <m/>
    <m/>
    <m/>
    <m/>
    <x v="3"/>
    <n v="1"/>
    <s v="HIPAA"/>
    <s v="Yes"/>
    <n v="0"/>
    <s v=""/>
    <x v="1"/>
    <n v="20"/>
    <s v=""/>
    <n v="20"/>
    <n v="0"/>
    <s v="CSC 18"/>
    <x v="0"/>
    <x v="0"/>
    <x v="1"/>
    <x v="0"/>
    <x v="0"/>
    <x v="1"/>
    <n v="13"/>
  </r>
  <r>
    <x v="226"/>
    <x v="223"/>
    <x v="0"/>
    <m/>
    <m/>
    <m/>
    <m/>
    <m/>
    <x v="3"/>
    <n v="1"/>
    <s v="HIPAA"/>
    <s v="No"/>
    <n v="0"/>
    <s v=""/>
    <x v="1"/>
    <n v="20"/>
    <s v=""/>
    <n v="20"/>
    <n v="0"/>
    <s v="CSC 10"/>
    <x v="0"/>
    <x v="0"/>
    <x v="1"/>
    <x v="0"/>
    <x v="0"/>
    <x v="1"/>
    <n v="13"/>
  </r>
  <r>
    <x v="227"/>
    <x v="224"/>
    <x v="0"/>
    <m/>
    <m/>
    <m/>
    <m/>
    <m/>
    <x v="3"/>
    <n v="1"/>
    <s v="HIPAA"/>
    <s v="Yes"/>
    <n v="0"/>
    <s v=""/>
    <x v="1"/>
    <n v="20"/>
    <s v=""/>
    <n v="20"/>
    <n v="0"/>
    <m/>
    <x v="0"/>
    <x v="0"/>
    <x v="1"/>
    <x v="0"/>
    <x v="0"/>
    <x v="1"/>
    <n v="13"/>
  </r>
  <r>
    <x v="228"/>
    <x v="225"/>
    <x v="0"/>
    <m/>
    <m/>
    <m/>
    <m/>
    <m/>
    <x v="3"/>
    <n v="1"/>
    <s v="HIPAA"/>
    <s v="Yes"/>
    <n v="0"/>
    <s v=""/>
    <x v="1"/>
    <n v="20"/>
    <s v=""/>
    <n v="20"/>
    <n v="0"/>
    <s v="CSC 12, CSC 13"/>
    <x v="0"/>
    <x v="0"/>
    <x v="1"/>
    <x v="0"/>
    <x v="0"/>
    <x v="1"/>
    <n v="13"/>
  </r>
  <r>
    <x v="229"/>
    <x v="226"/>
    <x v="0"/>
    <m/>
    <m/>
    <m/>
    <m/>
    <m/>
    <x v="3"/>
    <n v="1"/>
    <s v="HIPAA"/>
    <s v="Yes"/>
    <n v="0"/>
    <s v=""/>
    <x v="1"/>
    <n v="20"/>
    <s v=""/>
    <n v="20"/>
    <n v="0"/>
    <s v="CSC 10"/>
    <x v="0"/>
    <x v="0"/>
    <x v="1"/>
    <x v="0"/>
    <x v="0"/>
    <x v="1"/>
    <n v="13"/>
  </r>
  <r>
    <x v="230"/>
    <x v="227"/>
    <x v="0"/>
    <m/>
    <m/>
    <m/>
    <m/>
    <m/>
    <x v="3"/>
    <n v="1"/>
    <s v="HIPAA"/>
    <s v="Yes"/>
    <n v="0"/>
    <s v=""/>
    <x v="1"/>
    <n v="20"/>
    <s v=""/>
    <n v="20"/>
    <n v="0"/>
    <m/>
    <x v="0"/>
    <x v="0"/>
    <x v="0"/>
    <x v="0"/>
    <x v="0"/>
    <x v="1"/>
    <n v="13"/>
  </r>
  <r>
    <x v="231"/>
    <x v="228"/>
    <x v="0"/>
    <m/>
    <m/>
    <m/>
    <m/>
    <m/>
    <x v="3"/>
    <n v="1"/>
    <s v="HIPAA"/>
    <s v="No"/>
    <n v="0"/>
    <s v=""/>
    <x v="1"/>
    <n v="20"/>
    <s v=""/>
    <n v="20"/>
    <n v="0"/>
    <m/>
    <x v="0"/>
    <x v="0"/>
    <x v="0"/>
    <x v="0"/>
    <x v="0"/>
    <x v="1"/>
    <n v="13"/>
  </r>
  <r>
    <x v="232"/>
    <x v="229"/>
    <x v="0"/>
    <m/>
    <m/>
    <m/>
    <m/>
    <m/>
    <x v="3"/>
    <n v="1"/>
    <s v="HIPAA"/>
    <s v="Yes"/>
    <n v="0"/>
    <s v=""/>
    <x v="1"/>
    <n v="20"/>
    <s v=""/>
    <n v="20"/>
    <n v="0"/>
    <m/>
    <x v="0"/>
    <x v="3"/>
    <x v="0"/>
    <x v="0"/>
    <x v="0"/>
    <x v="1"/>
    <n v="13"/>
  </r>
  <r>
    <x v="233"/>
    <x v="230"/>
    <x v="0"/>
    <m/>
    <m/>
    <m/>
    <m/>
    <m/>
    <x v="3"/>
    <n v="1"/>
    <s v="HIPAA"/>
    <s v="Yes"/>
    <n v="0"/>
    <s v=""/>
    <x v="1"/>
    <n v="20"/>
    <s v=""/>
    <n v="20"/>
    <n v="0"/>
    <m/>
    <x v="0"/>
    <x v="0"/>
    <x v="0"/>
    <x v="0"/>
    <x v="0"/>
    <x v="0"/>
    <s v=""/>
  </r>
  <r>
    <x v="234"/>
    <x v="231"/>
    <x v="0"/>
    <m/>
    <m/>
    <m/>
    <m/>
    <m/>
    <x v="3"/>
    <n v="1"/>
    <s v="HIPAA"/>
    <s v="Yes"/>
    <n v="0"/>
    <s v=""/>
    <x v="1"/>
    <n v="20"/>
    <s v=""/>
    <n v="20"/>
    <n v="0"/>
    <m/>
    <x v="0"/>
    <x v="3"/>
    <x v="0"/>
    <x v="0"/>
    <x v="0"/>
    <x v="30"/>
    <s v="12.8, 12.5"/>
  </r>
  <r>
    <x v="235"/>
    <x v="232"/>
    <x v="0"/>
    <m/>
    <m/>
    <m/>
    <m/>
    <m/>
    <x v="3"/>
    <n v="1"/>
    <s v="HIPAA"/>
    <s v="Yes"/>
    <n v="0"/>
    <s v=""/>
    <x v="1"/>
    <n v="20"/>
    <s v=""/>
    <n v="20"/>
    <n v="0"/>
    <m/>
    <x v="0"/>
    <x v="47"/>
    <x v="0"/>
    <x v="0"/>
    <x v="47"/>
    <x v="1"/>
    <n v="13"/>
  </r>
  <r>
    <x v="236"/>
    <x v="233"/>
    <x v="0"/>
    <m/>
    <m/>
    <m/>
    <m/>
    <m/>
    <x v="3"/>
    <n v="1"/>
    <s v="HIPAA"/>
    <s v="Yes"/>
    <n v="0"/>
    <s v=""/>
    <x v="1"/>
    <n v="20"/>
    <s v=""/>
    <n v="20"/>
    <n v="0"/>
    <m/>
    <x v="0"/>
    <x v="3"/>
    <x v="0"/>
    <x v="0"/>
    <x v="0"/>
    <x v="1"/>
    <n v="13"/>
  </r>
  <r>
    <x v="237"/>
    <x v="234"/>
    <x v="0"/>
    <m/>
    <m/>
    <m/>
    <m/>
    <m/>
    <x v="3"/>
    <n v="1"/>
    <s v="HIPAA"/>
    <s v="Yes"/>
    <n v="0"/>
    <s v=""/>
    <x v="1"/>
    <n v="20"/>
    <s v=""/>
    <n v="20"/>
    <n v="0"/>
    <s v="CSC 6"/>
    <x v="18"/>
    <x v="43"/>
    <x v="1"/>
    <x v="0"/>
    <x v="0"/>
    <x v="31"/>
    <n v="10.7"/>
  </r>
  <r>
    <x v="238"/>
    <x v="235"/>
    <x v="0"/>
    <m/>
    <m/>
    <m/>
    <m/>
    <m/>
    <x v="3"/>
    <n v="1"/>
    <s v="HIPAA"/>
    <s v="Yes"/>
    <n v="0"/>
    <s v=""/>
    <x v="1"/>
    <n v="20"/>
    <s v=""/>
    <n v="20"/>
    <n v="0"/>
    <s v="CSC 6"/>
    <x v="18"/>
    <x v="43"/>
    <x v="1"/>
    <x v="0"/>
    <x v="0"/>
    <x v="31"/>
    <n v="10.7"/>
  </r>
  <r>
    <x v="239"/>
    <x v="236"/>
    <x v="0"/>
    <m/>
    <m/>
    <m/>
    <m/>
    <m/>
    <x v="3"/>
    <n v="1"/>
    <s v="HIPAA"/>
    <s v="Yes"/>
    <n v="0"/>
    <s v=""/>
    <x v="1"/>
    <n v="15"/>
    <s v=""/>
    <n v="15"/>
    <n v="0"/>
    <s v="CSC 10"/>
    <x v="19"/>
    <x v="1"/>
    <x v="1"/>
    <x v="0"/>
    <x v="0"/>
    <x v="31"/>
    <n v="10.7"/>
  </r>
  <r>
    <x v="240"/>
    <x v="237"/>
    <x v="0"/>
    <m/>
    <m/>
    <m/>
    <m/>
    <m/>
    <x v="3"/>
    <n v="1"/>
    <s v="HIPAA"/>
    <s v="Yes"/>
    <n v="0"/>
    <s v=""/>
    <x v="1"/>
    <n v="20"/>
    <s v=""/>
    <n v="20"/>
    <n v="0"/>
    <s v="CSC 10"/>
    <x v="20"/>
    <x v="41"/>
    <x v="1"/>
    <x v="20"/>
    <x v="0"/>
    <x v="32"/>
    <n v="12.1"/>
  </r>
  <r>
    <x v="241"/>
    <x v="238"/>
    <x v="0"/>
    <m/>
    <m/>
    <m/>
    <m/>
    <m/>
    <x v="4"/>
    <n v="1"/>
    <s v="HIPAA"/>
    <s v="Yes"/>
    <n v="0"/>
    <s v=""/>
    <x v="1"/>
    <n v="25"/>
    <s v=""/>
    <n v="25"/>
    <n v="0"/>
    <s v="CSC 10"/>
    <x v="20"/>
    <x v="22"/>
    <x v="1"/>
    <x v="50"/>
    <x v="0"/>
    <x v="32"/>
    <n v="12.1"/>
  </r>
  <r>
    <x v="242"/>
    <x v="239"/>
    <x v="0"/>
    <m/>
    <m/>
    <m/>
    <m/>
    <m/>
    <x v="3"/>
    <n v="1"/>
    <s v="HIPAA"/>
    <s v="Yes"/>
    <n v="0"/>
    <s v=""/>
    <x v="1"/>
    <n v="20"/>
    <s v=""/>
    <n v="20"/>
    <n v="0"/>
    <s v="CSC 10"/>
    <x v="21"/>
    <x v="1"/>
    <x v="1"/>
    <x v="0"/>
    <x v="0"/>
    <x v="31"/>
    <n v="10.7"/>
  </r>
  <r>
    <x v="243"/>
    <x v="240"/>
    <x v="0"/>
    <m/>
    <m/>
    <m/>
    <m/>
    <m/>
    <x v="3"/>
    <n v="1"/>
    <s v="HIPAA"/>
    <s v="Yes"/>
    <n v="0"/>
    <s v=""/>
    <x v="1"/>
    <n v="20"/>
    <s v=""/>
    <n v="20"/>
    <n v="0"/>
    <s v="CSC 10"/>
    <x v="22"/>
    <x v="1"/>
    <x v="1"/>
    <x v="0"/>
    <x v="0"/>
    <x v="0"/>
    <s v=""/>
  </r>
  <r>
    <x v="244"/>
    <x v="241"/>
    <x v="0"/>
    <m/>
    <m/>
    <m/>
    <m/>
    <m/>
    <x v="4"/>
    <n v="1"/>
    <s v="HIPAA"/>
    <s v="Yes"/>
    <n v="0"/>
    <s v=""/>
    <x v="1"/>
    <n v="25"/>
    <s v=""/>
    <n v="25"/>
    <n v="0"/>
    <s v="CSC 10"/>
    <x v="23"/>
    <x v="1"/>
    <x v="1"/>
    <x v="0"/>
    <x v="0"/>
    <x v="33"/>
    <n v="12.8"/>
  </r>
  <r>
    <x v="245"/>
    <x v="242"/>
    <x v="0"/>
    <m/>
    <m/>
    <m/>
    <m/>
    <m/>
    <x v="3"/>
    <n v="1"/>
    <s v="PCI DSS"/>
    <s v="Yes"/>
    <n v="0"/>
    <s v=""/>
    <x v="1"/>
    <n v="20"/>
    <s v=""/>
    <n v="20"/>
    <n v="0"/>
    <s v="CSC 10"/>
    <x v="0"/>
    <x v="1"/>
    <x v="1"/>
    <x v="0"/>
    <x v="0"/>
    <x v="33"/>
    <n v="12.8"/>
  </r>
  <r>
    <x v="246"/>
    <x v="243"/>
    <x v="0"/>
    <m/>
    <m/>
    <m/>
    <m/>
    <m/>
    <x v="3"/>
    <n v="1"/>
    <s v="PCI DSS"/>
    <s v="Yes"/>
    <n v="0"/>
    <s v=""/>
    <x v="1"/>
    <n v="20"/>
    <s v=""/>
    <n v="20"/>
    <n v="0"/>
    <s v="CSC 10"/>
    <x v="0"/>
    <x v="1"/>
    <x v="1"/>
    <x v="0"/>
    <x v="0"/>
    <x v="33"/>
    <n v="12.8"/>
  </r>
  <r>
    <x v="247"/>
    <x v="244"/>
    <x v="0"/>
    <m/>
    <m/>
    <m/>
    <m/>
    <m/>
    <x v="4"/>
    <n v="1"/>
    <s v="PCI DSS"/>
    <s v="Yes"/>
    <n v="0"/>
    <s v=""/>
    <x v="1"/>
    <n v="25"/>
    <s v=""/>
    <n v="25"/>
    <n v="0"/>
    <s v="CSC 10"/>
    <x v="0"/>
    <x v="1"/>
    <x v="1"/>
    <x v="0"/>
    <x v="0"/>
    <x v="33"/>
    <n v="12.8"/>
  </r>
  <r>
    <x v="248"/>
    <x v="245"/>
    <x v="0"/>
    <m/>
    <m/>
    <m/>
    <m/>
    <m/>
    <x v="3"/>
    <n v="1"/>
    <s v="PCI DSS"/>
    <s v="Yes"/>
    <n v="0"/>
    <s v=""/>
    <x v="1"/>
    <n v="20"/>
    <s v=""/>
    <n v="20"/>
    <n v="0"/>
    <m/>
    <x v="0"/>
    <x v="0"/>
    <x v="1"/>
    <x v="0"/>
    <x v="0"/>
    <x v="33"/>
    <n v="12.8"/>
  </r>
  <r>
    <x v="249"/>
    <x v="246"/>
    <x v="0"/>
    <m/>
    <m/>
    <m/>
    <m/>
    <m/>
    <x v="3"/>
    <n v="1"/>
    <s v="PCI DSS"/>
    <s v="Yes"/>
    <n v="0"/>
    <s v=""/>
    <x v="1"/>
    <n v="20"/>
    <s v=""/>
    <n v="20"/>
    <n v="0"/>
    <m/>
    <x v="0"/>
    <x v="0"/>
    <x v="1"/>
    <x v="0"/>
    <x v="0"/>
    <x v="33"/>
    <n v="12.8"/>
  </r>
  <r>
    <x v="250"/>
    <x v="247"/>
    <x v="0"/>
    <m/>
    <m/>
    <m/>
    <m/>
    <m/>
    <x v="3"/>
    <n v="1"/>
    <s v="PCI DSS"/>
    <s v="Yes"/>
    <n v="0"/>
    <s v=""/>
    <x v="1"/>
    <n v="20"/>
    <s v=""/>
    <n v="20"/>
    <n v="0"/>
    <m/>
    <x v="0"/>
    <x v="0"/>
    <x v="1"/>
    <x v="0"/>
    <x v="0"/>
    <x v="33"/>
    <n v="12.8"/>
  </r>
  <r>
    <x v="251"/>
    <x v="248"/>
    <x v="0"/>
    <m/>
    <m/>
    <m/>
    <m/>
    <m/>
    <x v="3"/>
    <n v="1"/>
    <s v="PCI DSS"/>
    <s v="Yes"/>
    <n v="0"/>
    <s v=""/>
    <x v="1"/>
    <n v="10"/>
    <s v=""/>
    <n v="10"/>
    <n v="0"/>
    <s v="CSC 1, CSC 2"/>
    <x v="0"/>
    <x v="0"/>
    <x v="1"/>
    <x v="0"/>
    <x v="0"/>
    <x v="4"/>
    <s v="PCI Scope"/>
  </r>
  <r>
    <x v="252"/>
    <x v="249"/>
    <x v="0"/>
    <m/>
    <m/>
    <m/>
    <m/>
    <m/>
    <x v="3"/>
    <n v="1"/>
    <s v="PCI DSS"/>
    <s v="Yes"/>
    <n v="0"/>
    <s v=""/>
    <x v="1"/>
    <n v="10"/>
    <s v=""/>
    <n v="10"/>
    <n v="0"/>
    <s v="CSC 18"/>
    <x v="0"/>
    <x v="0"/>
    <x v="1"/>
    <x v="0"/>
    <x v="0"/>
    <x v="33"/>
    <n v="12.8"/>
  </r>
  <r>
    <x v="253"/>
    <x v="250"/>
    <x v="0"/>
    <m/>
    <m/>
    <m/>
    <m/>
    <m/>
    <x v="3"/>
    <n v="1"/>
    <s v="PCI DSS"/>
    <s v="Yes"/>
    <n v="0"/>
    <s v=""/>
    <x v="1"/>
    <n v="10"/>
    <s v=""/>
    <n v="10"/>
    <n v="0"/>
    <s v="CSC 10"/>
    <x v="0"/>
    <x v="0"/>
    <x v="1"/>
    <x v="0"/>
    <x v="0"/>
    <x v="33"/>
    <n v="12.8"/>
  </r>
  <r>
    <x v="254"/>
    <x v="251"/>
    <x v="0"/>
    <m/>
    <m/>
    <m/>
    <m/>
    <m/>
    <x v="4"/>
    <n v="1"/>
    <s v="PCI DSS"/>
    <s v="No"/>
    <n v="0"/>
    <s v=""/>
    <x v="1"/>
    <n v="25"/>
    <s v=""/>
    <n v="25"/>
    <n v="0"/>
    <m/>
    <x v="0"/>
    <x v="0"/>
    <x v="1"/>
    <x v="0"/>
    <x v="0"/>
    <x v="33"/>
    <n v="12.8"/>
  </r>
  <r>
    <x v="255"/>
    <x v="252"/>
    <x v="0"/>
    <m/>
    <m/>
    <m/>
    <m/>
    <m/>
    <x v="4"/>
    <n v="1"/>
    <s v="PCI DSS"/>
    <s v="No"/>
    <n v="0"/>
    <s v=""/>
    <x v="1"/>
    <n v="25"/>
    <s v=""/>
    <n v="25"/>
    <n v="0"/>
    <s v="CSC 12, CSC 13"/>
    <x v="0"/>
    <x v="0"/>
    <x v="1"/>
    <x v="0"/>
    <x v="0"/>
    <x v="33"/>
    <n v="12.8"/>
  </r>
  <r>
    <x v="256"/>
    <x v="253"/>
    <x v="0"/>
    <m/>
    <m/>
    <m/>
    <m/>
    <m/>
    <x v="3"/>
    <n v="1"/>
    <s v="PCI DSS"/>
    <s v="Yes"/>
    <n v="0"/>
    <s v=""/>
    <x v="1"/>
    <n v="15"/>
    <s v=""/>
    <n v="15"/>
    <n v="0"/>
    <s v="CSC 10"/>
    <x v="0"/>
    <x v="0"/>
    <x v="1"/>
    <x v="0"/>
    <x v="0"/>
    <x v="33"/>
    <n v="1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1" cacheId="627"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A4:I9" firstHeaderRow="1" firstDataRow="1" firstDataCol="9" rowPageCount="2" colPageCount="1"/>
  <pivotFields count="27">
    <pivotField axis="axisRow" outline="0" showAll="0" defaultSubtotal="0">
      <items count="257">
        <item x="76"/>
        <item x="77"/>
        <item x="78"/>
        <item x="79"/>
        <item x="80"/>
        <item x="81"/>
        <item x="82"/>
        <item x="83"/>
        <item x="84"/>
        <item x="85"/>
        <item x="86"/>
        <item x="87"/>
        <item x="88"/>
        <item x="89"/>
        <item x="90"/>
        <item x="91"/>
        <item x="92"/>
        <item x="61"/>
        <item x="62"/>
        <item x="63"/>
        <item x="64"/>
        <item x="65"/>
        <item x="66"/>
        <item x="67"/>
        <item x="68"/>
        <item x="69"/>
        <item x="70"/>
        <item x="71"/>
        <item x="72"/>
        <item x="73"/>
        <item x="74"/>
        <item x="75"/>
        <item x="95"/>
        <item x="96"/>
        <item x="97"/>
        <item x="98"/>
        <item x="99"/>
        <item x="100"/>
        <item x="102"/>
        <item x="103"/>
        <item x="104"/>
        <item x="105"/>
        <item x="106"/>
        <item x="107"/>
        <item x="108"/>
        <item x="109"/>
        <item x="110"/>
        <item x="111"/>
        <item x="112"/>
        <item x="113"/>
        <item x="114"/>
        <item x="115"/>
        <item x="116"/>
        <item x="117"/>
        <item x="118"/>
        <item x="119"/>
        <item x="53"/>
        <item x="54"/>
        <item x="55"/>
        <item x="56"/>
        <item x="57"/>
        <item x="59"/>
        <item x="6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27"/>
        <item x="28"/>
        <item x="29"/>
        <item x="30"/>
        <item x="31"/>
        <item x="32"/>
        <item x="162"/>
        <item x="163"/>
        <item x="164"/>
        <item x="165"/>
        <item x="166"/>
        <item x="167"/>
        <item x="168"/>
        <item x="169"/>
        <item x="170"/>
        <item x="171"/>
        <item x="172"/>
        <item x="173"/>
        <item x="174"/>
        <item x="175"/>
        <item x="176"/>
        <item x="177"/>
        <item x="178"/>
        <item x="179"/>
        <item x="180"/>
        <item x="181"/>
        <item x="182"/>
        <item x="216"/>
        <item x="217"/>
        <item x="218"/>
        <item x="219"/>
        <item x="220"/>
        <item x="221"/>
        <item x="222"/>
        <item x="223"/>
        <item x="224"/>
        <item x="225"/>
        <item x="226"/>
        <item x="227"/>
        <item x="228"/>
        <item x="229"/>
        <item x="230"/>
        <item x="231"/>
        <item x="232"/>
        <item x="233"/>
        <item x="234"/>
        <item x="235"/>
        <item x="236"/>
        <item x="237"/>
        <item x="239"/>
        <item x="240"/>
        <item x="241"/>
        <item x="242"/>
        <item x="243"/>
        <item x="244"/>
        <item x="245"/>
        <item x="246"/>
        <item x="247"/>
        <item x="248"/>
        <item x="249"/>
        <item x="253"/>
        <item x="254"/>
        <item x="255"/>
        <item x="185"/>
        <item x="186"/>
        <item x="187"/>
        <item x="188"/>
        <item x="189"/>
        <item x="191"/>
        <item x="192"/>
        <item x="194"/>
        <item x="195"/>
        <item x="196"/>
        <item x="197"/>
        <item x="198"/>
        <item x="199"/>
        <item x="206"/>
        <item x="207"/>
        <item x="208"/>
        <item x="209"/>
        <item x="15"/>
        <item x="16"/>
        <item x="17"/>
        <item x="18"/>
        <item x="19"/>
        <item x="20"/>
        <item x="21"/>
        <item x="210"/>
        <item x="212"/>
        <item x="213"/>
        <item x="184"/>
        <item x="190"/>
        <item x="193"/>
        <item x="205"/>
        <item x="214"/>
        <item x="215"/>
        <item x="256"/>
        <item x="47"/>
        <item x="48"/>
        <item x="49"/>
        <item x="50"/>
        <item x="52"/>
        <item x="58"/>
        <item x="101"/>
        <item x="183"/>
        <item x="211"/>
        <item x="238"/>
        <item x="250"/>
        <item x="251"/>
        <item x="252"/>
        <item x="22"/>
        <item x="23"/>
        <item x="24"/>
        <item x="25"/>
        <item x="26"/>
        <item x="200"/>
        <item x="0"/>
        <item x="1"/>
        <item x="2"/>
        <item x="3"/>
        <item x="4"/>
        <item x="5"/>
        <item x="6"/>
        <item x="7"/>
        <item x="8"/>
        <item x="9"/>
        <item x="10"/>
        <item x="11"/>
        <item x="12"/>
        <item x="13"/>
        <item x="14"/>
        <item x="33"/>
        <item x="34"/>
        <item x="35"/>
        <item x="36"/>
        <item x="37"/>
        <item x="38"/>
        <item x="39"/>
        <item x="40"/>
        <item x="41"/>
        <item x="42"/>
        <item x="43"/>
        <item x="44"/>
        <item x="45"/>
        <item x="46"/>
        <item x="51"/>
        <item x="93"/>
        <item x="94"/>
        <item x="120"/>
        <item x="201"/>
        <item x="202"/>
        <item x="203"/>
        <item x="204"/>
      </items>
    </pivotField>
    <pivotField axis="axisRow" outline="0" showAll="0" defaultSubtotal="0">
      <items count="254">
        <item x="92"/>
        <item x="136"/>
        <item x="185"/>
        <item x="128"/>
        <item x="224"/>
        <item x="134"/>
        <item x="99"/>
        <item x="129"/>
        <item x="116"/>
        <item x="245"/>
        <item x="243"/>
        <item x="246"/>
        <item x="171"/>
        <item x="240"/>
        <item x="148"/>
        <item x="146"/>
        <item x="250"/>
        <item x="234"/>
        <item x="235"/>
        <item x="184"/>
        <item x="78"/>
        <item x="79"/>
        <item x="239"/>
        <item x="206"/>
        <item x="168"/>
        <item x="93"/>
        <item x="154"/>
        <item x="94"/>
        <item x="160"/>
        <item x="230"/>
        <item x="108"/>
        <item x="132"/>
        <item x="117"/>
        <item x="201"/>
        <item x="203"/>
        <item x="216"/>
        <item x="176"/>
        <item x="177"/>
        <item x="244"/>
        <item x="237"/>
        <item x="193"/>
        <item x="183"/>
        <item x="173"/>
        <item x="186"/>
        <item x="187"/>
        <item x="111"/>
        <item x="118"/>
        <item x="194"/>
        <item x="81"/>
        <item x="115"/>
        <item x="114"/>
        <item x="205"/>
        <item x="179"/>
        <item x="214"/>
        <item x="191"/>
        <item x="213"/>
        <item x="156"/>
        <item x="232"/>
        <item x="231"/>
        <item x="143"/>
        <item x="80"/>
        <item x="110"/>
        <item x="223"/>
        <item x="222"/>
        <item x="226"/>
        <item x="221"/>
        <item x="220"/>
        <item x="227"/>
        <item x="228"/>
        <item x="236"/>
        <item x="165"/>
        <item x="100"/>
        <item x="33"/>
        <item x="164"/>
        <item x="101"/>
        <item x="15"/>
        <item x="56"/>
        <item x="215"/>
        <item x="238"/>
        <item x="217"/>
        <item x="241"/>
        <item x="218"/>
        <item x="174"/>
        <item x="175"/>
        <item x="29"/>
        <item x="219"/>
        <item x="72"/>
        <item x="225"/>
        <item x="130"/>
        <item x="95"/>
        <item x="161"/>
        <item x="113"/>
        <item x="58"/>
        <item x="140"/>
        <item x="152"/>
        <item x="251"/>
        <item x="151"/>
        <item x="96"/>
        <item x="166"/>
        <item x="97"/>
        <item x="167"/>
        <item x="229"/>
        <item x="103"/>
        <item x="172"/>
        <item x="73"/>
        <item x="150"/>
        <item x="57"/>
        <item x="16"/>
        <item x="121"/>
        <item x="59"/>
        <item x="54"/>
        <item x="53"/>
        <item x="55"/>
        <item x="107"/>
        <item x="126"/>
        <item x="188"/>
        <item x="189"/>
        <item x="141"/>
        <item x="204"/>
        <item x="211"/>
        <item x="253"/>
        <item x="48"/>
        <item x="49"/>
        <item x="52"/>
        <item x="180"/>
        <item x="233"/>
        <item x="247"/>
        <item x="248"/>
        <item x="249"/>
        <item x="22"/>
        <item x="24"/>
        <item x="25"/>
        <item x="26"/>
        <item x="89"/>
        <item x="133"/>
        <item x="135"/>
        <item x="149"/>
        <item x="162"/>
        <item x="181"/>
        <item x="74"/>
        <item x="75"/>
        <item x="195"/>
        <item x="196"/>
        <item x="197"/>
        <item x="242"/>
        <item x="252"/>
        <item x="28"/>
        <item x="102"/>
        <item x="137"/>
        <item x="139"/>
        <item x="178"/>
        <item x="198"/>
        <item x="182"/>
        <item x="0"/>
        <item x="1"/>
        <item x="2"/>
        <item x="3"/>
        <item x="4"/>
        <item x="5"/>
        <item x="6"/>
        <item x="7"/>
        <item x="8"/>
        <item x="9"/>
        <item x="10"/>
        <item x="11"/>
        <item x="12"/>
        <item x="13"/>
        <item x="14"/>
        <item x="17"/>
        <item x="18"/>
        <item x="19"/>
        <item x="20"/>
        <item x="21"/>
        <item x="23"/>
        <item x="27"/>
        <item x="30"/>
        <item x="31"/>
        <item x="32"/>
        <item x="34"/>
        <item x="35"/>
        <item x="36"/>
        <item x="37"/>
        <item x="38"/>
        <item x="39"/>
        <item x="40"/>
        <item x="41"/>
        <item x="42"/>
        <item x="43"/>
        <item x="44"/>
        <item x="45"/>
        <item x="46"/>
        <item x="47"/>
        <item x="50"/>
        <item x="51"/>
        <item x="60"/>
        <item x="61"/>
        <item x="62"/>
        <item x="63"/>
        <item x="64"/>
        <item x="65"/>
        <item x="66"/>
        <item x="67"/>
        <item x="68"/>
        <item x="69"/>
        <item x="70"/>
        <item x="71"/>
        <item x="76"/>
        <item x="77"/>
        <item x="82"/>
        <item x="83"/>
        <item x="84"/>
        <item x="85"/>
        <item x="86"/>
        <item x="87"/>
        <item x="88"/>
        <item x="90"/>
        <item x="91"/>
        <item x="98"/>
        <item x="104"/>
        <item x="105"/>
        <item x="106"/>
        <item x="109"/>
        <item x="112"/>
        <item x="119"/>
        <item x="120"/>
        <item x="122"/>
        <item x="123"/>
        <item x="124"/>
        <item x="125"/>
        <item x="127"/>
        <item x="131"/>
        <item x="138"/>
        <item x="142"/>
        <item x="144"/>
        <item x="145"/>
        <item x="147"/>
        <item x="153"/>
        <item x="155"/>
        <item x="157"/>
        <item x="158"/>
        <item x="159"/>
        <item x="163"/>
        <item x="169"/>
        <item x="170"/>
        <item x="190"/>
        <item x="192"/>
        <item x="199"/>
        <item x="200"/>
        <item x="202"/>
        <item x="207"/>
        <item x="208"/>
        <item x="209"/>
        <item x="210"/>
        <item x="212"/>
      </items>
    </pivotField>
    <pivotField axis="axisRow" outline="0" showAll="0" defaultSubtotal="0">
      <items count="4">
        <item x="0"/>
        <item x="3"/>
        <item x="2"/>
        <item x="1"/>
      </items>
    </pivotField>
    <pivotField showAll="0" defaultSubtotal="0"/>
    <pivotField showAll="0" defaultSubtotal="0"/>
    <pivotField showAll="0" defaultSubtotal="0"/>
    <pivotField showAll="0" defaultSubtotal="0"/>
    <pivotField showAll="0" defaultSubtotal="0"/>
    <pivotField axis="axisPage" showAll="0" defaultSubtotal="0">
      <items count="5">
        <item x="2"/>
        <item x="1"/>
        <item x="0"/>
        <item x="3"/>
        <item x="4"/>
      </items>
    </pivotField>
    <pivotField showAll="0"/>
    <pivotField showAll="0"/>
    <pivotField showAll="0"/>
    <pivotField showAll="0"/>
    <pivotField showAll="0" defaultSubtotal="0"/>
    <pivotField axis="axisPage" showAll="0" defaultSubtotal="0">
      <items count="3">
        <item x="1"/>
        <item x="0"/>
        <item x="2"/>
      </items>
    </pivotField>
    <pivotField showAll="0" defaultSubtotal="0"/>
    <pivotField showAll="0" defaultSubtotal="0"/>
    <pivotField showAll="0"/>
    <pivotField showAll="0"/>
    <pivotField showAll="0" defaultSubtotal="0"/>
    <pivotField axis="axisRow" outline="0" showAll="0" defaultSubtotal="0">
      <items count="24">
        <item x="17"/>
        <item x="11"/>
        <item x="2"/>
        <item x="8"/>
        <item x="23"/>
        <item x="16"/>
        <item x="3"/>
        <item x="4"/>
        <item x="15"/>
        <item x="14"/>
        <item x="6"/>
        <item x="12"/>
        <item x="9"/>
        <item x="10"/>
        <item x="20"/>
        <item x="22"/>
        <item x="21"/>
        <item x="19"/>
        <item x="18"/>
        <item x="7"/>
        <item x="1"/>
        <item x="5"/>
        <item x="0"/>
        <item x="13"/>
      </items>
    </pivotField>
    <pivotField axis="axisRow" outline="0" showAll="0" defaultSubtotal="0">
      <items count="55">
        <item x="13"/>
        <item x="35"/>
        <item x="30"/>
        <item x="36"/>
        <item x="40"/>
        <item x="9"/>
        <item x="14"/>
        <item x="26"/>
        <item x="15"/>
        <item x="28"/>
        <item x="43"/>
        <item x="12"/>
        <item x="21"/>
        <item x="48"/>
        <item x="49"/>
        <item x="37"/>
        <item x="47"/>
        <item x="3"/>
        <item x="53"/>
        <item x="54"/>
        <item x="41"/>
        <item x="2"/>
        <item x="22"/>
        <item x="25"/>
        <item x="1"/>
        <item x="52"/>
        <item x="51"/>
        <item x="20"/>
        <item x="24"/>
        <item x="23"/>
        <item x="29"/>
        <item x="27"/>
        <item x="44"/>
        <item x="45"/>
        <item x="31"/>
        <item x="33"/>
        <item x="11"/>
        <item x="18"/>
        <item x="5"/>
        <item x="32"/>
        <item x="16"/>
        <item x="17"/>
        <item x="6"/>
        <item x="46"/>
        <item x="19"/>
        <item x="39"/>
        <item x="0"/>
        <item x="4"/>
        <item x="34"/>
        <item x="7"/>
        <item x="8"/>
        <item x="10"/>
        <item x="38"/>
        <item x="42"/>
        <item x="50"/>
      </items>
    </pivotField>
    <pivotField axis="axisRow" outline="0" showAll="0" defaultSubtotal="0">
      <items count="41">
        <item x="33"/>
        <item x="31"/>
        <item x="32"/>
        <item x="34"/>
        <item x="37"/>
        <item x="36"/>
        <item x="35"/>
        <item x="16"/>
        <item x="10"/>
        <item x="9"/>
        <item x="5"/>
        <item x="2"/>
        <item x="1"/>
        <item x="12"/>
        <item x="13"/>
        <item x="20"/>
        <item x="6"/>
        <item x="11"/>
        <item x="7"/>
        <item x="28"/>
        <item x="25"/>
        <item x="26"/>
        <item x="22"/>
        <item x="23"/>
        <item x="24"/>
        <item x="30"/>
        <item x="38"/>
        <item x="19"/>
        <item x="14"/>
        <item x="17"/>
        <item x="18"/>
        <item x="21"/>
        <item x="3"/>
        <item x="8"/>
        <item x="39"/>
        <item x="29"/>
        <item x="0"/>
        <item x="15"/>
        <item x="40"/>
        <item x="4"/>
        <item x="27"/>
      </items>
    </pivotField>
    <pivotField axis="axisRow" outline="0" showAll="0" defaultSubtotal="0">
      <items count="51">
        <item x="11"/>
        <item x="47"/>
        <item x="9"/>
        <item x="40"/>
        <item x="6"/>
        <item x="5"/>
        <item x="27"/>
        <item x="36"/>
        <item x="26"/>
        <item x="10"/>
        <item x="46"/>
        <item x="19"/>
        <item x="20"/>
        <item x="30"/>
        <item x="17"/>
        <item x="25"/>
        <item x="21"/>
        <item x="42"/>
        <item x="39"/>
        <item x="49"/>
        <item x="16"/>
        <item x="22"/>
        <item x="23"/>
        <item x="24"/>
        <item x="8"/>
        <item x="15"/>
        <item x="48"/>
        <item x="14"/>
        <item x="12"/>
        <item x="13"/>
        <item x="45"/>
        <item x="43"/>
        <item x="38"/>
        <item x="44"/>
        <item x="50"/>
        <item x="33"/>
        <item x="34"/>
        <item x="28"/>
        <item x="35"/>
        <item x="32"/>
        <item x="31"/>
        <item x="4"/>
        <item x="29"/>
        <item x="2"/>
        <item x="1"/>
        <item x="3"/>
        <item x="37"/>
        <item x="0"/>
        <item x="18"/>
        <item x="41"/>
        <item x="7"/>
      </items>
    </pivotField>
    <pivotField axis="axisRow" outline="0" showAll="0" defaultSubtotal="0">
      <items count="48">
        <item x="44"/>
        <item x="10"/>
        <item x="39"/>
        <item x="15"/>
        <item x="34"/>
        <item x="32"/>
        <item x="27"/>
        <item x="12"/>
        <item x="8"/>
        <item x="26"/>
        <item x="14"/>
        <item x="24"/>
        <item x="43"/>
        <item x="40"/>
        <item x="23"/>
        <item x="38"/>
        <item x="45"/>
        <item x="46"/>
        <item x="2"/>
        <item x="22"/>
        <item x="3"/>
        <item x="13"/>
        <item x="11"/>
        <item x="19"/>
        <item x="25"/>
        <item x="28"/>
        <item x="31"/>
        <item x="30"/>
        <item x="18"/>
        <item x="16"/>
        <item x="17"/>
        <item x="37"/>
        <item x="41"/>
        <item x="42"/>
        <item x="9"/>
        <item x="36"/>
        <item x="5"/>
        <item x="1"/>
        <item x="4"/>
        <item x="29"/>
        <item x="33"/>
        <item x="21"/>
        <item x="35"/>
        <item x="0"/>
        <item x="20"/>
        <item x="6"/>
        <item x="7"/>
        <item x="47"/>
      </items>
    </pivotField>
    <pivotField axis="axisRow" showAll="0" defaultSubtotal="0">
      <items count="34">
        <item x="31"/>
        <item x="32"/>
        <item x="33"/>
        <item x="25"/>
        <item x="27"/>
        <item x="28"/>
        <item x="18"/>
        <item x="16"/>
        <item x="5"/>
        <item x="29"/>
        <item x="19"/>
        <item x="17"/>
        <item x="7"/>
        <item x="20"/>
        <item x="9"/>
        <item x="12"/>
        <item x="15"/>
        <item x="14"/>
        <item x="6"/>
        <item x="10"/>
        <item x="11"/>
        <item x="21"/>
        <item x="4"/>
        <item x="3"/>
        <item x="22"/>
        <item x="0"/>
        <item x="30"/>
        <item x="1"/>
        <item x="2"/>
        <item x="8"/>
        <item x="13"/>
        <item x="23"/>
        <item x="24"/>
        <item x="26"/>
      </items>
    </pivotField>
    <pivotField showAll="0" defaultSubtotal="0"/>
  </pivotFields>
  <rowFields count="9">
    <field x="0"/>
    <field x="1"/>
    <field x="2"/>
    <field x="20"/>
    <field x="21"/>
    <field x="22"/>
    <field x="23"/>
    <field x="24"/>
    <field x="25"/>
  </rowFields>
  <rowItems count="5">
    <i>
      <x v="184"/>
      <x v="75"/>
      <x/>
      <x v="20"/>
      <x v="24"/>
      <x v="12"/>
      <x v="44"/>
      <x v="37"/>
      <x v="25"/>
    </i>
    <i>
      <x v="185"/>
      <x v="107"/>
      <x/>
      <x v="22"/>
      <x v="46"/>
      <x v="11"/>
      <x v="43"/>
      <x v="43"/>
      <x v="27"/>
    </i>
    <i>
      <x v="186"/>
      <x v="168"/>
      <x/>
      <x v="22"/>
      <x v="21"/>
      <x v="32"/>
      <x v="45"/>
      <x v="18"/>
      <x v="28"/>
    </i>
    <i>
      <x v="187"/>
      <x v="169"/>
      <x/>
      <x v="22"/>
      <x v="46"/>
      <x v="36"/>
      <x v="47"/>
      <x v="43"/>
      <x v="25"/>
    </i>
    <i>
      <x v="188"/>
      <x v="170"/>
      <x/>
      <x v="22"/>
      <x v="21"/>
      <x v="32"/>
      <x v="45"/>
      <x v="20"/>
      <x v="28"/>
    </i>
  </rowItems>
  <colItems count="1">
    <i/>
  </colItems>
  <pageFields count="2">
    <pageField fld="8" item="1" hier="-1"/>
    <pageField fld="14" item="0" hier="-1"/>
  </pageFields>
  <formats count="12">
    <format dxfId="129">
      <pivotArea type="all" dataOnly="0" outline="0" fieldPosition="0"/>
    </format>
    <format dxfId="130">
      <pivotArea dataOnly="0" labelOnly="1" grandRow="1" outline="0" fieldPosition="0"/>
    </format>
    <format dxfId="131">
      <pivotArea type="all" dataOnly="0" outline="0" fieldPosition="0"/>
    </format>
    <format dxfId="132">
      <pivotArea field="0" type="button" dataOnly="0" labelOnly="1" outline="0" axis="axisRow" fieldPosition="1"/>
    </format>
    <format dxfId="133">
      <pivotArea field="1" type="button" dataOnly="0" labelOnly="1" outline="0" axis="axisRow" fieldPosition="2"/>
    </format>
    <format dxfId="134">
      <pivotArea field="2" type="button" dataOnly="0" labelOnly="1" outline="0" axis="axisRow" fieldPosition="3"/>
    </format>
    <format dxfId="135">
      <pivotArea field="20" type="button" dataOnly="0" labelOnly="1" outline="0" axis="axisRow" fieldPosition="5"/>
    </format>
    <format dxfId="136">
      <pivotArea field="21" type="button" dataOnly="0" labelOnly="1" outline="0" axis="axisRow" fieldPosition="6"/>
    </format>
    <format dxfId="137">
      <pivotArea field="22" type="button" dataOnly="0" labelOnly="1" outline="0" axis="axisRow" fieldPosition="7"/>
    </format>
    <format dxfId="138">
      <pivotArea field="23" type="button" dataOnly="0" labelOnly="1" outline="0" axis="axisRow" fieldPosition="8"/>
    </format>
    <format dxfId="139">
      <pivotArea field="24" type="button" dataOnly="0" labelOnly="1" outline="0" axis="axisRow" fieldPosition="9"/>
    </format>
    <format dxfId="140">
      <pivotArea dataOnly="0" labelOnly="1" outline="0" fieldPosition="0">
        <references count="1">
          <reference field="2" count="0"/>
        </references>
      </pivotArea>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en-isac.net/hecvat/cbi.html" TargetMode="External"/><Relationship Id="rId1" Type="http://schemas.openxmlformats.org/officeDocument/2006/relationships/hyperlink" Target="https://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mailto:laura@weaveeducation.com" TargetMode="External"/><Relationship Id="rId2" Type="http://schemas.openxmlformats.org/officeDocument/2006/relationships/hyperlink" Target="mailto:laura@weaveeducation.com" TargetMode="External"/><Relationship Id="rId1" Type="http://schemas.openxmlformats.org/officeDocument/2006/relationships/hyperlink" Target="https://weaveeducation.com/privacy-policy/"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showGridLines="0" zoomScaleNormal="100" workbookViewId="0"/>
  </sheetViews>
  <sheetFormatPr defaultColWidth="0" defaultRowHeight="12.95" zeroHeight="1"/>
  <cols>
    <col min="1" max="1" width="105.19921875" style="86" customWidth="1"/>
    <col min="2" max="2" width="6.59765625" style="86" customWidth="1"/>
    <col min="3" max="16384" width="6.59765625" style="86" hidden="1"/>
  </cols>
  <sheetData>
    <row r="1" spans="1:1">
      <c r="A1" s="235" t="s">
        <v>0</v>
      </c>
    </row>
    <row r="2" spans="1:1" ht="42" customHeight="1">
      <c r="A2" s="225"/>
    </row>
    <row r="3" spans="1:1" ht="21">
      <c r="A3" s="226" t="s">
        <v>1</v>
      </c>
    </row>
    <row r="4" spans="1:1" ht="15.95">
      <c r="A4" s="227"/>
    </row>
    <row r="5" spans="1:1" ht="120">
      <c r="A5" s="227" t="s">
        <v>2</v>
      </c>
    </row>
    <row r="6" spans="1:1" ht="15.95">
      <c r="A6" s="228"/>
    </row>
    <row r="7" spans="1:1" ht="60">
      <c r="A7" s="227" t="s">
        <v>3</v>
      </c>
    </row>
    <row r="8" spans="1:1" ht="15.95">
      <c r="A8" s="228"/>
    </row>
    <row r="9" spans="1:1" ht="28.5" customHeight="1">
      <c r="A9" s="227" t="s">
        <v>4</v>
      </c>
    </row>
    <row r="10" spans="1:1" ht="30">
      <c r="A10" s="227" t="s">
        <v>5</v>
      </c>
    </row>
    <row r="11" spans="1:1" ht="15.95">
      <c r="A11" s="227" t="s">
        <v>6</v>
      </c>
    </row>
    <row r="12" spans="1:1" ht="15.95">
      <c r="A12" s="227" t="s">
        <v>7</v>
      </c>
    </row>
    <row r="13" spans="1:1" ht="15.95">
      <c r="A13" s="227"/>
    </row>
    <row r="14" spans="1:1" ht="30">
      <c r="A14" s="227" t="s">
        <v>8</v>
      </c>
    </row>
    <row r="15" spans="1:1" ht="15.95">
      <c r="A15" s="227" t="s">
        <v>9</v>
      </c>
    </row>
    <row r="16" spans="1:1" ht="15.95">
      <c r="A16" s="227" t="s">
        <v>10</v>
      </c>
    </row>
    <row r="17" spans="1:1" ht="15.95">
      <c r="A17" s="227" t="s">
        <v>11</v>
      </c>
    </row>
    <row r="18" spans="1:1" ht="15.95">
      <c r="A18" s="227" t="s">
        <v>12</v>
      </c>
    </row>
    <row r="19" spans="1:1" ht="15.95">
      <c r="A19" s="228"/>
    </row>
    <row r="20" spans="1:1" ht="30">
      <c r="A20" s="227" t="s">
        <v>13</v>
      </c>
    </row>
    <row r="21" spans="1:1" ht="15.95">
      <c r="A21" s="229" t="s">
        <v>14</v>
      </c>
    </row>
    <row r="22" spans="1:1" ht="17.100000000000001">
      <c r="A22" s="230" t="s">
        <v>15</v>
      </c>
    </row>
    <row r="23" spans="1:1" ht="15.95">
      <c r="A23" s="231"/>
    </row>
    <row r="24" spans="1:1" ht="15.95">
      <c r="A24" s="229" t="s">
        <v>16</v>
      </c>
    </row>
    <row r="25" spans="1:1" ht="17.100000000000001">
      <c r="A25" s="232" t="s">
        <v>17</v>
      </c>
    </row>
    <row r="26" spans="1:1" ht="15.95">
      <c r="A26" s="231"/>
    </row>
    <row r="27" spans="1:1" ht="15.95">
      <c r="A27" s="229" t="s">
        <v>18</v>
      </c>
    </row>
    <row r="28" spans="1:1" ht="15.95">
      <c r="A28" s="233"/>
    </row>
    <row r="29" spans="1:1" ht="15.95">
      <c r="A29" s="229" t="s">
        <v>19</v>
      </c>
    </row>
    <row r="30" spans="1:1" ht="15.95">
      <c r="A30" s="231"/>
    </row>
    <row r="31" spans="1:1" ht="15.95">
      <c r="A31" s="94" t="s">
        <v>20</v>
      </c>
    </row>
    <row r="32" spans="1:1" ht="15.95">
      <c r="A32" s="229" t="s">
        <v>21</v>
      </c>
    </row>
    <row r="34" spans="1:1" ht="30">
      <c r="A34" s="234" t="s">
        <v>22</v>
      </c>
    </row>
    <row r="35" spans="1:1" ht="36" customHeight="1">
      <c r="A35" s="224" t="s">
        <v>23</v>
      </c>
    </row>
    <row r="36" spans="1:1">
      <c r="A36" s="235" t="s">
        <v>24</v>
      </c>
    </row>
  </sheetData>
  <hyperlinks>
    <hyperlink ref="A22" r:id="rId1" xr:uid="{C8FDEEC2-F8B4-40D9-9D96-6D170A2703F8}"/>
    <hyperlink ref="A25" r:id="rId2" xr:uid="{BCD4007C-5E37-4306-9729-BCA7DA54A59B}"/>
  </hyperlinks>
  <pageMargins left="0.7" right="0.7" top="0.75" bottom="0.75" header="0.3" footer="0.3"/>
  <pageSetup scale="85" orientation="portrait" horizontalDpi="0" verticalDpi="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9"/>
  <sheetViews>
    <sheetView workbookViewId="0">
      <selection activeCell="A5" sqref="A5"/>
    </sheetView>
  </sheetViews>
  <sheetFormatPr defaultColWidth="8.59765625" defaultRowHeight="12"/>
  <cols>
    <col min="1" max="1" width="10.09765625" style="50" bestFit="1" customWidth="1"/>
    <col min="2" max="2" width="12" style="50" customWidth="1"/>
    <col min="3" max="3" width="12.19921875" style="50" customWidth="1"/>
    <col min="4" max="4" width="9.19921875" style="50" customWidth="1"/>
    <col min="5" max="5" width="9.19921875" style="50" bestFit="1" customWidth="1"/>
    <col min="6" max="6" width="11.59765625" style="50" bestFit="1" customWidth="1"/>
    <col min="7" max="7" width="12" style="50" bestFit="1" customWidth="1"/>
    <col min="8" max="8" width="15.09765625" style="50" customWidth="1"/>
    <col min="9" max="9" width="8.09765625" style="50" customWidth="1"/>
    <col min="10" max="10" width="15.59765625" style="50" bestFit="1" customWidth="1"/>
    <col min="11" max="11" width="8.09765625" style="50" customWidth="1"/>
    <col min="12" max="16384" width="8.59765625" style="50"/>
  </cols>
  <sheetData>
    <row r="1" spans="1:9" ht="15.95">
      <c r="A1" s="219" t="s">
        <v>2311</v>
      </c>
      <c r="B1" s="50" t="s">
        <v>3310</v>
      </c>
    </row>
    <row r="2" spans="1:9" ht="15.95">
      <c r="A2" s="219" t="s">
        <v>2317</v>
      </c>
      <c r="B2" s="220">
        <v>0</v>
      </c>
    </row>
    <row r="3" spans="1:9" ht="15.95"/>
    <row r="4" spans="1:9" ht="39">
      <c r="A4" s="219" t="s">
        <v>3311</v>
      </c>
      <c r="B4" s="219" t="s">
        <v>529</v>
      </c>
      <c r="C4" s="219" t="s">
        <v>2306</v>
      </c>
      <c r="D4" s="219" t="s">
        <v>2321</v>
      </c>
      <c r="E4" s="219" t="s">
        <v>2322</v>
      </c>
      <c r="F4" s="219" t="s">
        <v>2323</v>
      </c>
      <c r="G4" s="219" t="s">
        <v>2324</v>
      </c>
      <c r="H4" s="219" t="s">
        <v>2325</v>
      </c>
      <c r="I4" s="219" t="s">
        <v>2326</v>
      </c>
    </row>
    <row r="5" spans="1:9" ht="104.1">
      <c r="A5" s="220" t="s">
        <v>99</v>
      </c>
      <c r="B5" s="220" t="s">
        <v>2339</v>
      </c>
      <c r="C5" s="220">
        <v>0</v>
      </c>
      <c r="D5" s="221" t="s">
        <v>2263</v>
      </c>
      <c r="E5" s="220" t="s">
        <v>765</v>
      </c>
      <c r="F5" s="220" t="s">
        <v>855</v>
      </c>
      <c r="G5" s="220" t="s">
        <v>855</v>
      </c>
      <c r="H5" s="220" t="s">
        <v>3312</v>
      </c>
      <c r="I5" s="220" t="s">
        <v>3313</v>
      </c>
    </row>
    <row r="6" spans="1:9" ht="117">
      <c r="A6" s="220" t="s">
        <v>101</v>
      </c>
      <c r="B6" s="220" t="s">
        <v>3314</v>
      </c>
      <c r="C6" s="220">
        <v>0</v>
      </c>
      <c r="D6" s="221" t="s">
        <v>3313</v>
      </c>
      <c r="E6" s="220" t="s">
        <v>3313</v>
      </c>
      <c r="F6" s="220" t="s">
        <v>3315</v>
      </c>
      <c r="G6" s="220" t="s">
        <v>3315</v>
      </c>
      <c r="H6" s="220" t="s">
        <v>3313</v>
      </c>
      <c r="I6" s="220">
        <v>13</v>
      </c>
    </row>
    <row r="7" spans="1:9" ht="65.099999999999994">
      <c r="A7" s="220" t="s">
        <v>104</v>
      </c>
      <c r="B7" s="220" t="s">
        <v>3316</v>
      </c>
      <c r="C7" s="220">
        <v>0</v>
      </c>
      <c r="D7" s="221" t="s">
        <v>3313</v>
      </c>
      <c r="E7" s="220" t="s">
        <v>759</v>
      </c>
      <c r="F7" s="220" t="s">
        <v>927</v>
      </c>
      <c r="G7" s="220" t="s">
        <v>927</v>
      </c>
      <c r="H7" s="220" t="s">
        <v>3317</v>
      </c>
      <c r="I7" s="220">
        <v>12</v>
      </c>
    </row>
    <row r="8" spans="1:9" ht="65.099999999999994">
      <c r="A8" s="220" t="s">
        <v>106</v>
      </c>
      <c r="B8" s="220" t="s">
        <v>3318</v>
      </c>
      <c r="C8" s="220">
        <v>0</v>
      </c>
      <c r="D8" s="221" t="s">
        <v>3313</v>
      </c>
      <c r="E8" s="220" t="s">
        <v>3313</v>
      </c>
      <c r="F8" s="220" t="s">
        <v>3313</v>
      </c>
      <c r="G8" s="220" t="s">
        <v>3313</v>
      </c>
      <c r="H8" s="220" t="s">
        <v>3313</v>
      </c>
      <c r="I8" s="220" t="s">
        <v>3313</v>
      </c>
    </row>
    <row r="9" spans="1:9" ht="65.099999999999994">
      <c r="A9" s="220" t="s">
        <v>108</v>
      </c>
      <c r="B9" s="220" t="s">
        <v>3319</v>
      </c>
      <c r="C9" s="220">
        <v>0</v>
      </c>
      <c r="D9" s="221" t="s">
        <v>3313</v>
      </c>
      <c r="E9" s="220" t="s">
        <v>759</v>
      </c>
      <c r="F9" s="220" t="s">
        <v>927</v>
      </c>
      <c r="G9" s="220" t="s">
        <v>927</v>
      </c>
      <c r="H9" s="220" t="s">
        <v>3320</v>
      </c>
      <c r="I9" s="220">
        <v>12</v>
      </c>
    </row>
  </sheetData>
  <pageMargins left="0.7" right="0.7" top="0.75" bottom="0.75" header="0.3" footer="0.3"/>
  <pageSetup paperSize="9" orientation="portrait" horizontalDpi="0"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7030A0"/>
  </sheetPr>
  <dimension ref="A1:IY282"/>
  <sheetViews>
    <sheetView showGridLines="0" zoomScaleNormal="100" zoomScalePageLayoutView="80" workbookViewId="0"/>
  </sheetViews>
  <sheetFormatPr defaultColWidth="0" defaultRowHeight="15" customHeight="1" zeroHeight="1"/>
  <cols>
    <col min="1" max="1" width="8.19921875" customWidth="1"/>
    <col min="2" max="2" width="58.5" style="29" customWidth="1"/>
    <col min="3" max="3" width="24.59765625" style="17" customWidth="1"/>
    <col min="4" max="4" width="24.59765625" style="5" customWidth="1"/>
    <col min="5" max="5" width="24.59765625" style="6" customWidth="1"/>
    <col min="6" max="7" width="24.59765625" style="17" customWidth="1"/>
    <col min="8" max="8" width="26.59765625" style="6" customWidth="1"/>
    <col min="9" max="9" width="12" style="3" customWidth="1"/>
    <col min="10" max="10" width="15.59765625" style="3" customWidth="1"/>
    <col min="11" max="11" width="6.59765625" style="3" customWidth="1"/>
    <col min="12" max="259" width="6.59765625" style="3" hidden="1" customWidth="1"/>
    <col min="260" max="16384" width="6.59765625" hidden="1"/>
  </cols>
  <sheetData>
    <row r="1" spans="1:10" ht="15" customHeight="1">
      <c r="A1" s="238" t="s">
        <v>3321</v>
      </c>
    </row>
    <row r="2" spans="1:10" ht="36" customHeight="1">
      <c r="A2" s="372" t="s">
        <v>3322</v>
      </c>
      <c r="B2" s="373"/>
      <c r="C2" s="373"/>
      <c r="D2" s="373"/>
      <c r="E2" s="373"/>
      <c r="F2" s="373"/>
      <c r="G2" s="373"/>
      <c r="H2" s="373"/>
      <c r="I2" s="373"/>
      <c r="J2" s="373"/>
    </row>
    <row r="3" spans="1:10" ht="36" customHeight="1">
      <c r="A3" s="280" t="s">
        <v>3323</v>
      </c>
      <c r="B3" s="280"/>
      <c r="C3" s="280"/>
      <c r="D3" s="280"/>
      <c r="E3" s="280"/>
      <c r="F3" s="280"/>
      <c r="G3" s="280"/>
      <c r="H3" s="280"/>
      <c r="I3" s="71"/>
      <c r="J3" s="71"/>
    </row>
    <row r="23" spans="1:11" s="28" customFormat="1" ht="36" customHeight="1">
      <c r="A23" s="104" t="s">
        <v>528</v>
      </c>
      <c r="B23" s="261" t="s">
        <v>33</v>
      </c>
      <c r="C23" s="18" t="s">
        <v>2320</v>
      </c>
      <c r="D23" s="18" t="s">
        <v>2321</v>
      </c>
      <c r="E23" s="18" t="s">
        <v>2322</v>
      </c>
      <c r="F23" s="18" t="s">
        <v>2323</v>
      </c>
      <c r="G23" s="18" t="s">
        <v>3324</v>
      </c>
      <c r="H23" s="18" t="s">
        <v>2325</v>
      </c>
      <c r="I23" s="101" t="s">
        <v>2326</v>
      </c>
      <c r="J23" s="101" t="s">
        <v>2327</v>
      </c>
      <c r="K23" s="27"/>
    </row>
    <row r="24" spans="1:11" s="79" customFormat="1" ht="17.25" customHeight="1">
      <c r="A24" s="76"/>
      <c r="B24" s="76"/>
      <c r="C24" s="77"/>
      <c r="D24" s="77"/>
      <c r="E24" s="77"/>
      <c r="F24" s="77"/>
      <c r="G24" s="77"/>
      <c r="H24" s="77"/>
      <c r="I24" s="77"/>
      <c r="J24" s="77"/>
      <c r="K24" s="78"/>
    </row>
    <row r="25" spans="1:11" ht="48" customHeight="1">
      <c r="A25" s="10" t="s">
        <v>99</v>
      </c>
      <c r="B25" s="23" t="str">
        <f>VLOOKUP(A25,'HECVAT - Full | Vendor Response'!A$27:B$284,2,FALSE)</f>
        <v>Does your product process protected health information (PHI) or any data covered by the Health Insurance Portability and Accountability Act?</v>
      </c>
      <c r="C25" s="103" t="str">
        <f>IF(LEN(VLOOKUP($A25,Questions!$B:$AA,20,FALSE))=0,"",VLOOKUP($A25,Questions!$B:$AA,20,FALSE))</f>
        <v xml:space="preserve"> </v>
      </c>
      <c r="D25" s="30" t="str">
        <f>IF(LEN(VLOOKUP($A25,Questions!$B:$AA,21,FALSE))=0,"",VLOOKUP($A25,Questions!$B:$AA,21,FALSE))</f>
        <v xml:space="preserve"> </v>
      </c>
      <c r="E25" s="30" t="str">
        <f>IF(LEN(VLOOKUP($A25,Questions!$B:$AA,22,FALSE))=0,"",VLOOKUP($A25,Questions!$B:$AA,22,FALSE))</f>
        <v xml:space="preserve"> </v>
      </c>
      <c r="F25" s="30" t="str">
        <f>IF(LEN(VLOOKUP($A25,Questions!$B:$AA,23,FALSE))=0,"",VLOOKUP($A25,Questions!$B:$AA,23,FALSE))</f>
        <v xml:space="preserve"> </v>
      </c>
      <c r="G25" s="30" t="str">
        <f>IF(LEN(VLOOKUP($A25,Questions!$B:$AA,24,FALSE))=0,"",VLOOKUP($A25,Questions!$B:$AA,24,FALSE))</f>
        <v xml:space="preserve"> </v>
      </c>
      <c r="H25" s="30" t="str">
        <f>IF(LEN(VLOOKUP($A25,Questions!$B:$AA,25,FALSE))=0,"",VLOOKUP($A25,Questions!$B:$AA,25,FALSE))</f>
        <v xml:space="preserve"> </v>
      </c>
      <c r="I25" s="31" t="str">
        <f>IF(LEN(VLOOKUP($A25,Questions!$B:$AA,26,FALSE))=0,"",VLOOKUP($A25,Questions!$B:$AA,26,FALSE))</f>
        <v xml:space="preserve"> </v>
      </c>
      <c r="J25" s="31" t="str">
        <f>IF(LEN(VLOOKUP($A25,Questions!$B:$AB,27,FALSE))=0,"",VLOOKUP($A25,Questions!$B:$AB,27,FALSE))</f>
        <v xml:space="preserve"> </v>
      </c>
    </row>
    <row r="26" spans="1:11" ht="48" customHeight="1">
      <c r="A26" s="10" t="s">
        <v>101</v>
      </c>
      <c r="B26" s="23" t="str">
        <f>VLOOKUP(A26,'HECVAT - Full | Vendor Response'!A$27:B$284,2,FALSE)</f>
        <v>Will institutional data be shared with or hosted by any third parties? (Any entity not wholly owned by your company is considered a third-party.)</v>
      </c>
      <c r="C26" s="30" t="str">
        <f>IF(LEN(VLOOKUP($A26,Questions!$B:$AA,20,FALSE))=0,"",VLOOKUP($A26,Questions!$B:$AA,20,FALSE))</f>
        <v xml:space="preserve"> </v>
      </c>
      <c r="D26" s="31" t="str">
        <f>IF(LEN(VLOOKUP($A26,Questions!$B:$AA,21,FALSE))=0,"",VLOOKUP($A26,Questions!$B:$AA,21,FALSE))</f>
        <v xml:space="preserve"> </v>
      </c>
      <c r="E26" s="31" t="str">
        <f>IF(LEN(VLOOKUP($A26,Questions!$B:$AA,22,FALSE))=0,"",VLOOKUP($A26,Questions!$B:$AA,22,FALSE))</f>
        <v xml:space="preserve"> </v>
      </c>
      <c r="F26" s="31" t="str">
        <f>IF(LEN(VLOOKUP($A26,Questions!$B:$AA,23,FALSE))=0,"",VLOOKUP($A26,Questions!$B:$AA,23,FALSE))</f>
        <v xml:space="preserve"> </v>
      </c>
      <c r="G26" s="31" t="str">
        <f>IF(LEN(VLOOKUP($A26,Questions!$B:$AA,24,FALSE))=0,"",VLOOKUP($A26,Questions!$B:$AA,24,FALSE))</f>
        <v xml:space="preserve"> </v>
      </c>
      <c r="H26" s="30" t="str">
        <f>IF(LEN(VLOOKUP($A26,Questions!$B:$AA,25,FALSE))=0,"",VLOOKUP($A26,Questions!$B:$AA,25,FALSE))</f>
        <v xml:space="preserve"> </v>
      </c>
      <c r="I26" s="31" t="str">
        <f>IF(LEN(VLOOKUP($A26,Questions!$B:$AA,26,FALSE))=0,"",VLOOKUP($A26,Questions!$B:$AA,26,FALSE))</f>
        <v xml:space="preserve"> </v>
      </c>
      <c r="J26" s="31" t="str">
        <f>IF(LEN(VLOOKUP($A26,Questions!$B:$AB,27,FALSE))=0,"",VLOOKUP($A26,Questions!$B:$AB,27,FALSE))</f>
        <v xml:space="preserve"> </v>
      </c>
    </row>
    <row r="27" spans="1:11" ht="48" customHeight="1">
      <c r="A27" s="10" t="s">
        <v>104</v>
      </c>
      <c r="B27" s="23" t="str">
        <f>VLOOKUP(A27,'HECVAT - Full | Vendor Response'!A$27:B$284,2,FALSE)</f>
        <v>Do you have a well-documented Business Continuity Plan (BCP) that is tested annually?</v>
      </c>
      <c r="C27" s="30" t="str">
        <f>IF(LEN(VLOOKUP($A27,Questions!$B:$AA,20,FALSE))=0,"",VLOOKUP($A27,Questions!$B:$AA,20,FALSE))</f>
        <v xml:space="preserve"> </v>
      </c>
      <c r="D27" s="31" t="str">
        <f>IF(LEN(VLOOKUP($A27,Questions!$B:$AA,21,FALSE))=0,"",VLOOKUP($A27,Questions!$B:$AA,21,FALSE))</f>
        <v xml:space="preserve"> </v>
      </c>
      <c r="E27" s="31" t="str">
        <f>IF(LEN(VLOOKUP($A27,Questions!$B:$AA,22,FALSE))=0,"",VLOOKUP($A27,Questions!$B:$AA,22,FALSE))</f>
        <v xml:space="preserve"> </v>
      </c>
      <c r="F27" s="30" t="str">
        <f>IF(LEN(VLOOKUP($A27,Questions!$B:$AA,23,FALSE))=0,"",VLOOKUP($A27,Questions!$B:$AA,23,FALSE))</f>
        <v xml:space="preserve"> </v>
      </c>
      <c r="G27" s="30" t="str">
        <f>IF(LEN(VLOOKUP($A27,Questions!$B:$AA,24,FALSE))=0,"",VLOOKUP($A27,Questions!$B:$AA,24,FALSE))</f>
        <v xml:space="preserve"> </v>
      </c>
      <c r="H27" s="31" t="str">
        <f>IF(LEN(VLOOKUP($A27,Questions!$B:$AA,25,FALSE))=0,"",VLOOKUP($A27,Questions!$B:$AA,25,FALSE))</f>
        <v xml:space="preserve"> </v>
      </c>
      <c r="I27" s="30" t="str">
        <f>IF(LEN(VLOOKUP($A27,Questions!$B:$AA,26,FALSE))=0,"",VLOOKUP($A27,Questions!$B:$AA,26,FALSE))</f>
        <v xml:space="preserve"> </v>
      </c>
      <c r="J27" s="30" t="str">
        <f>IF(LEN(VLOOKUP($A27,Questions!$B:$AB,27,FALSE))=0,"",VLOOKUP($A27,Questions!$B:$AB,27,FALSE))</f>
        <v xml:space="preserve"> </v>
      </c>
    </row>
    <row r="28" spans="1:11" ht="48" customHeight="1">
      <c r="A28" s="10" t="s">
        <v>106</v>
      </c>
      <c r="B28" s="23" t="str">
        <f>VLOOKUP(A28,'HECVAT - Full | Vendor Response'!A$27:B$284,2,FALSE)</f>
        <v>Do you have a well-documented Disaster Recovery Plan (DRP) that is tested annually?</v>
      </c>
      <c r="C28" s="30" t="str">
        <f>IF(LEN(VLOOKUP($A28,Questions!$B:$AA,20,FALSE))=0,"",VLOOKUP($A28,Questions!$B:$AA,20,FALSE))</f>
        <v xml:space="preserve"> </v>
      </c>
      <c r="D28" s="31" t="str">
        <f>IF(LEN(VLOOKUP($A28,Questions!$B:$AA,21,FALSE))=0,"",VLOOKUP($A28,Questions!$B:$AA,21,FALSE))</f>
        <v xml:space="preserve"> </v>
      </c>
      <c r="E28" s="30" t="str">
        <f>IF(LEN(VLOOKUP($A28,Questions!$B:$AA,22,FALSE))=0,"",VLOOKUP($A28,Questions!$B:$AA,22,FALSE))</f>
        <v xml:space="preserve"> </v>
      </c>
      <c r="F28" s="30" t="str">
        <f>IF(LEN(VLOOKUP($A28,Questions!$B:$AA,23,FALSE))=0,"",VLOOKUP($A28,Questions!$B:$AA,23,FALSE))</f>
        <v xml:space="preserve"> </v>
      </c>
      <c r="G28" s="30" t="str">
        <f>IF(LEN(VLOOKUP($A28,Questions!$B:$AA,24,FALSE))=0,"",VLOOKUP($A28,Questions!$B:$AA,24,FALSE))</f>
        <v xml:space="preserve"> </v>
      </c>
      <c r="H28" s="30" t="str">
        <f>IF(LEN(VLOOKUP($A28,Questions!$B:$AA,25,FALSE))=0,"",VLOOKUP($A28,Questions!$B:$AA,25,FALSE))</f>
        <v xml:space="preserve"> </v>
      </c>
      <c r="I28" s="30" t="str">
        <f>IF(LEN(VLOOKUP($A28,Questions!$B:$AA,26,FALSE))=0,"",VLOOKUP($A28,Questions!$B:$AA,26,FALSE))</f>
        <v xml:space="preserve"> </v>
      </c>
      <c r="J28" s="30" t="str">
        <f>IF(LEN(VLOOKUP($A28,Questions!$B:$AB,27,FALSE))=0,"",VLOOKUP($A28,Questions!$B:$AB,27,FALSE))</f>
        <v xml:space="preserve"> </v>
      </c>
    </row>
    <row r="29" spans="1:11" ht="48" customHeight="1">
      <c r="A29" s="10" t="s">
        <v>108</v>
      </c>
      <c r="B29" s="23" t="str">
        <f>VLOOKUP(A29,'HECVAT - Full | Vendor Response'!A$27:B$284,2,FALSE)</f>
        <v>Is the vended product designed to process or store credit card information?</v>
      </c>
      <c r="C29" s="30" t="str">
        <f>IF(LEN(VLOOKUP($A29,Questions!$B:$AA,20,FALSE))=0,"",VLOOKUP($A29,Questions!$B:$AA,20,FALSE))</f>
        <v xml:space="preserve"> </v>
      </c>
      <c r="D29" s="31" t="str">
        <f>IF(LEN(VLOOKUP($A29,Questions!$B:$AA,21,FALSE))=0,"",VLOOKUP($A29,Questions!$B:$AA,21,FALSE))</f>
        <v xml:space="preserve"> </v>
      </c>
      <c r="E29" s="30" t="str">
        <f>IF(LEN(VLOOKUP($A29,Questions!$B:$AA,22,FALSE))=0,"",VLOOKUP($A29,Questions!$B:$AA,22,FALSE))</f>
        <v xml:space="preserve"> </v>
      </c>
      <c r="F29" s="30" t="str">
        <f>IF(LEN(VLOOKUP($A29,Questions!$B:$AA,23,FALSE))=0,"",VLOOKUP($A29,Questions!$B:$AA,23,FALSE))</f>
        <v xml:space="preserve"> </v>
      </c>
      <c r="G29" s="30" t="str">
        <f>IF(LEN(VLOOKUP($A29,Questions!$B:$AA,24,FALSE))=0,"",VLOOKUP($A29,Questions!$B:$AA,24,FALSE))</f>
        <v xml:space="preserve"> </v>
      </c>
      <c r="H29" s="30" t="str">
        <f>IF(LEN(VLOOKUP($A29,Questions!$B:$AA,25,FALSE))=0,"",VLOOKUP($A29,Questions!$B:$AA,25,FALSE))</f>
        <v xml:space="preserve"> </v>
      </c>
      <c r="I29" s="30" t="str">
        <f>IF(LEN(VLOOKUP($A29,Questions!$B:$AA,26,FALSE))=0,"",VLOOKUP($A29,Questions!$B:$AA,26,FALSE))</f>
        <v xml:space="preserve"> </v>
      </c>
      <c r="J29" s="30" t="str">
        <f>IF(LEN(VLOOKUP($A29,Questions!$B:$AB,27,FALSE))=0,"",VLOOKUP($A29,Questions!$B:$AB,27,FALSE))</f>
        <v xml:space="preserve"> </v>
      </c>
    </row>
    <row r="30" spans="1:11" ht="48" customHeight="1">
      <c r="A30" s="10" t="s">
        <v>109</v>
      </c>
      <c r="B30" s="23" t="str">
        <f>VLOOKUP(A30,'HECVAT - Full | Vendor Response'!A$27:B$284,2,FALSE)</f>
        <v>Does your company provide professional services pertaining to this product?</v>
      </c>
      <c r="C30" s="30" t="str">
        <f>IF(LEN(VLOOKUP($A30,Questions!$B:$AA,20,FALSE))=0,"",VLOOKUP($A30,Questions!$B:$AA,20,FALSE))</f>
        <v xml:space="preserve"> </v>
      </c>
      <c r="D30" s="31" t="str">
        <f>IF(LEN(VLOOKUP($A30,Questions!$B:$AA,21,FALSE))=0,"",VLOOKUP($A30,Questions!$B:$AA,21,FALSE))</f>
        <v xml:space="preserve"> </v>
      </c>
      <c r="E30" s="30" t="str">
        <f>IF(LEN(VLOOKUP($A30,Questions!$B:$AA,22,FALSE))=0,"",VLOOKUP($A30,Questions!$B:$AA,22,FALSE))</f>
        <v xml:space="preserve"> </v>
      </c>
      <c r="F30" s="30" t="str">
        <f>IF(LEN(VLOOKUP($A30,Questions!$B:$AA,23,FALSE))=0,"",VLOOKUP($A30,Questions!$B:$AA,23,FALSE))</f>
        <v xml:space="preserve"> </v>
      </c>
      <c r="G30" s="30" t="str">
        <f>IF(LEN(VLOOKUP($A30,Questions!$B:$AA,24,FALSE))=0,"",VLOOKUP($A30,Questions!$B:$AA,24,FALSE))</f>
        <v xml:space="preserve"> </v>
      </c>
      <c r="H30" s="30" t="str">
        <f>IF(LEN(VLOOKUP($A30,Questions!$B:$AA,25,FALSE))=0,"",VLOOKUP($A30,Questions!$B:$AA,25,FALSE))</f>
        <v xml:space="preserve"> </v>
      </c>
      <c r="I30" s="30" t="str">
        <f>IF(LEN(VLOOKUP($A30,Questions!$B:$AA,26,FALSE))=0,"",VLOOKUP($A30,Questions!$B:$AA,26,FALSE))</f>
        <v xml:space="preserve"> </v>
      </c>
      <c r="J30" s="30" t="str">
        <f>IF(LEN(VLOOKUP($A30,Questions!$B:$AB,27,FALSE))=0,"",VLOOKUP($A30,Questions!$B:$AB,27,FALSE))</f>
        <v xml:space="preserve"> </v>
      </c>
    </row>
    <row r="31" spans="1:11" ht="48" customHeight="1">
      <c r="A31" s="10" t="s">
        <v>110</v>
      </c>
      <c r="B31" s="23" t="str">
        <f>VLOOKUP(A31,'HECVAT - Full | Vendor Response'!A$27:B$284,2,FALSE)</f>
        <v>Select your hosting option.</v>
      </c>
      <c r="C31" s="30" t="str">
        <f>IF(LEN(VLOOKUP($A31,Questions!$B:$AA,20,FALSE))=0,"",VLOOKUP($A31,Questions!$B:$AA,20,FALSE))</f>
        <v xml:space="preserve"> </v>
      </c>
      <c r="D31" s="31" t="str">
        <f>IF(LEN(VLOOKUP($A31,Questions!$B:$AA,21,FALSE))=0,"",VLOOKUP($A31,Questions!$B:$AA,21,FALSE))</f>
        <v xml:space="preserve"> </v>
      </c>
      <c r="E31" s="31" t="str">
        <f>IF(LEN(VLOOKUP($A31,Questions!$B:$AA,22,FALSE))=0,"",VLOOKUP($A31,Questions!$B:$AA,22,FALSE))</f>
        <v xml:space="preserve"> </v>
      </c>
      <c r="F31" s="31" t="str">
        <f>IF(LEN(VLOOKUP($A31,Questions!$B:$AA,23,FALSE))=0,"",VLOOKUP($A31,Questions!$B:$AA,23,FALSE))</f>
        <v xml:space="preserve"> </v>
      </c>
      <c r="G31" s="31" t="str">
        <f>IF(LEN(VLOOKUP($A31,Questions!$B:$AA,24,FALSE))=0,"",VLOOKUP($A31,Questions!$B:$AA,24,FALSE))</f>
        <v xml:space="preserve"> </v>
      </c>
      <c r="H31" s="31" t="str">
        <f>IF(LEN(VLOOKUP($A31,Questions!$B:$AA,25,FALSE))=0,"",VLOOKUP($A31,Questions!$B:$AA,25,FALSE))</f>
        <v xml:space="preserve"> </v>
      </c>
      <c r="I31" s="30" t="str">
        <f>IF(LEN(VLOOKUP($A31,Questions!$B:$AA,26,FALSE))=0,"",VLOOKUP($A31,Questions!$B:$AA,26,FALSE))</f>
        <v xml:space="preserve"> </v>
      </c>
      <c r="J31" s="30" t="str">
        <f>IF(LEN(VLOOKUP($A31,Questions!$B:$AB,27,FALSE))=0,"",VLOOKUP($A31,Questions!$B:$AB,27,FALSE))</f>
        <v xml:space="preserve"> </v>
      </c>
      <c r="K31" s="238" t="s">
        <v>3325</v>
      </c>
    </row>
    <row r="32" spans="1:11" s="28" customFormat="1" ht="36" customHeight="1">
      <c r="A32" s="374" t="s">
        <v>37</v>
      </c>
      <c r="B32" s="375"/>
      <c r="C32" s="18" t="str">
        <f>C$23</f>
        <v>CIS Critical Security Controls v6.1</v>
      </c>
      <c r="D32" s="18" t="str">
        <f t="shared" ref="D32:J32" si="0">D$23</f>
        <v>HIPAA</v>
      </c>
      <c r="E32" s="18" t="str">
        <f t="shared" si="0"/>
        <v>ISO 27002:27013</v>
      </c>
      <c r="F32" s="18" t="str">
        <f t="shared" si="0"/>
        <v>NIST Cybersecurity Framework</v>
      </c>
      <c r="G32" s="18" t="str">
        <f t="shared" si="0"/>
        <v>NIST SP 800-171r2</v>
      </c>
      <c r="H32" s="18" t="str">
        <f t="shared" si="0"/>
        <v>NIST SP 800-53r4</v>
      </c>
      <c r="I32" s="18" t="str">
        <f t="shared" si="0"/>
        <v>PCI DSS</v>
      </c>
      <c r="J32" s="18" t="str">
        <f t="shared" si="0"/>
        <v>Trusted CI</v>
      </c>
      <c r="K32" s="27"/>
    </row>
    <row r="33" spans="1:11" ht="54" customHeight="1">
      <c r="A33" s="10" t="s">
        <v>112</v>
      </c>
      <c r="B33" s="23" t="str">
        <f>VLOOKUP(A33,'HECVAT - Full | Vendor Response'!A$27:B$284,2,FALSE)</f>
        <v>Describe your organization’s business background and ownership structure, including all parent and subsidiary relationships.</v>
      </c>
      <c r="C33" s="31" t="str">
        <f>IF(LEN(VLOOKUP($A33,Questions!$B:$AA,20,FALSE))=0,"",VLOOKUP($A33,Questions!$B:$AA,20,FALSE))</f>
        <v xml:space="preserve"> </v>
      </c>
      <c r="D33" s="31" t="str">
        <f>IF(LEN(VLOOKUP($A33,Questions!$B:$AA,21,FALSE))=0,"",VLOOKUP($A33,Questions!$B:$AA,21,FALSE))</f>
        <v xml:space="preserve"> </v>
      </c>
      <c r="E33" s="31" t="str">
        <f>IF(LEN(VLOOKUP($A33,Questions!$B:$AA,22,FALSE))=0,"",VLOOKUP($A33,Questions!$B:$AA,22,FALSE))</f>
        <v xml:space="preserve"> </v>
      </c>
      <c r="F33" s="31" t="str">
        <f>IF(LEN(VLOOKUP($A33,Questions!$B:$AA,23,FALSE))=0,"",VLOOKUP($A33,Questions!$B:$AA,23,FALSE))</f>
        <v xml:space="preserve"> </v>
      </c>
      <c r="G33" s="31" t="str">
        <f>IF(LEN(VLOOKUP($A33,Questions!$B:$AA,24,FALSE))=0,"",VLOOKUP($A33,Questions!$B:$AA,24,FALSE))</f>
        <v xml:space="preserve"> </v>
      </c>
      <c r="H33" s="31" t="str">
        <f>IF(LEN(VLOOKUP($A33,Questions!$B:$AA,25,FALSE))=0,"",VLOOKUP($A33,Questions!$B:$AA,25,FALSE))</f>
        <v xml:space="preserve"> </v>
      </c>
      <c r="I33" s="30" t="str">
        <f>IF(LEN(VLOOKUP($A33,Questions!$B:$AA,26,FALSE))=0,"",VLOOKUP($A33,Questions!$B:$AA,26,FALSE))</f>
        <v xml:space="preserve"> </v>
      </c>
      <c r="J33" s="30" t="str">
        <f>IF(LEN(VLOOKUP($A33,Questions!$B:$AB,27,FALSE))=0,"",VLOOKUP($A33,Questions!$B:$AB,27,FALSE))</f>
        <v xml:space="preserve"> </v>
      </c>
    </row>
    <row r="34" spans="1:11" ht="54" customHeight="1">
      <c r="A34" s="10" t="s">
        <v>114</v>
      </c>
      <c r="B34" s="23" t="str">
        <f>VLOOKUP(A34,'HECVAT - Full | Vendor Response'!A$27:B$284,2,FALSE)</f>
        <v>Have you had an unplanned disruption to this product/service in the past 12 months?</v>
      </c>
      <c r="C34" s="31" t="str">
        <f>IF(LEN(VLOOKUP($A34,Questions!$B:$AA,20,FALSE))=0,"",VLOOKUP($A34,Questions!$B:$AA,20,FALSE))</f>
        <v xml:space="preserve"> </v>
      </c>
      <c r="D34" s="31" t="str">
        <f>IF(LEN(VLOOKUP($A34,Questions!$B:$AA,21,FALSE))=0,"",VLOOKUP($A34,Questions!$B:$AA,21,FALSE))</f>
        <v xml:space="preserve"> </v>
      </c>
      <c r="E34" s="31" t="str">
        <f>IF(LEN(VLOOKUP($A34,Questions!$B:$AA,22,FALSE))=0,"",VLOOKUP($A34,Questions!$B:$AA,22,FALSE))</f>
        <v xml:space="preserve"> </v>
      </c>
      <c r="F34" s="31" t="str">
        <f>IF(LEN(VLOOKUP($A34,Questions!$B:$AA,23,FALSE))=0,"",VLOOKUP($A34,Questions!$B:$AA,23,FALSE))</f>
        <v xml:space="preserve"> </v>
      </c>
      <c r="G34" s="31" t="str">
        <f>IF(LEN(VLOOKUP($A34,Questions!$B:$AA,24,FALSE))=0,"",VLOOKUP($A34,Questions!$B:$AA,24,FALSE))</f>
        <v xml:space="preserve"> </v>
      </c>
      <c r="H34" s="31" t="str">
        <f>IF(LEN(VLOOKUP($A34,Questions!$B:$AA,25,FALSE))=0,"",VLOOKUP($A34,Questions!$B:$AA,25,FALSE))</f>
        <v xml:space="preserve"> </v>
      </c>
      <c r="I34" s="30" t="str">
        <f>IF(LEN(VLOOKUP($A34,Questions!$B:$AA,26,FALSE))=0,"",VLOOKUP($A34,Questions!$B:$AA,26,FALSE))</f>
        <v xml:space="preserve"> </v>
      </c>
      <c r="J34" s="30" t="str">
        <f>IF(LEN(VLOOKUP($A34,Questions!$B:$AB,27,FALSE))=0,"",VLOOKUP($A34,Questions!$B:$AB,27,FALSE))</f>
        <v xml:space="preserve"> </v>
      </c>
    </row>
    <row r="35" spans="1:11" ht="54" customHeight="1">
      <c r="A35" s="10" t="s">
        <v>116</v>
      </c>
      <c r="B35" s="23" t="str">
        <f>VLOOKUP(A35,'HECVAT - Full | Vendor Response'!A$27:B$284,2,FALSE)</f>
        <v>Do you have a dedicated Information Security staff or office?</v>
      </c>
      <c r="C35" s="31" t="str">
        <f>IF(LEN(VLOOKUP($A35,Questions!$B:$AA,20,FALSE))=0,"",VLOOKUP($A35,Questions!$B:$AA,20,FALSE))</f>
        <v xml:space="preserve"> </v>
      </c>
      <c r="D35" s="31" t="str">
        <f>IF(LEN(VLOOKUP($A35,Questions!$B:$AA,21,FALSE))=0,"",VLOOKUP($A35,Questions!$B:$AA,21,FALSE))</f>
        <v xml:space="preserve"> </v>
      </c>
      <c r="E35" s="30" t="str">
        <f>IF(LEN(VLOOKUP($A35,Questions!$B:$AA,22,FALSE))=0,"",VLOOKUP($A35,Questions!$B:$AA,22,FALSE))</f>
        <v xml:space="preserve"> </v>
      </c>
      <c r="F35" s="31" t="str">
        <f>IF(LEN(VLOOKUP($A35,Questions!$B:$AA,23,FALSE))=0,"",VLOOKUP($A35,Questions!$B:$AA,23,FALSE))</f>
        <v xml:space="preserve"> </v>
      </c>
      <c r="G35" s="31" t="str">
        <f>IF(LEN(VLOOKUP($A35,Questions!$B:$AA,24,FALSE))=0,"",VLOOKUP($A35,Questions!$B:$AA,24,FALSE))</f>
        <v xml:space="preserve"> </v>
      </c>
      <c r="H35" s="31" t="str">
        <f>IF(LEN(VLOOKUP($A35,Questions!$B:$AA,25,FALSE))=0,"",VLOOKUP($A35,Questions!$B:$AA,25,FALSE))</f>
        <v xml:space="preserve"> </v>
      </c>
      <c r="I35" s="30" t="str">
        <f>IF(LEN(VLOOKUP($A35,Questions!$B:$AA,26,FALSE))=0,"",VLOOKUP($A35,Questions!$B:$AA,26,FALSE))</f>
        <v xml:space="preserve"> </v>
      </c>
      <c r="J35" s="30" t="str">
        <f>IF(LEN(VLOOKUP($A35,Questions!$B:$AB,27,FALSE))=0,"",VLOOKUP($A35,Questions!$B:$AB,27,FALSE))</f>
        <v xml:space="preserve"> </v>
      </c>
    </row>
    <row r="36" spans="1:11" ht="64.5" customHeight="1">
      <c r="A36" s="10" t="s">
        <v>118</v>
      </c>
      <c r="B36" s="23" t="str">
        <f>VLOOKUP(A36,'HECVAT - Full | Vendor Response'!A$27:B$284,2,FALSE)</f>
        <v>Do you have a dedicated Software and System Development team(s)? (e.g., Customer Support, Implementation, Product Management, etc.)</v>
      </c>
      <c r="C36" s="31" t="str">
        <f>IF(LEN(VLOOKUP($A36,Questions!$B:$AA,20,FALSE))=0,"",VLOOKUP($A36,Questions!$B:$AA,20,FALSE))</f>
        <v xml:space="preserve"> </v>
      </c>
      <c r="D36" s="31" t="str">
        <f>IF(LEN(VLOOKUP($A36,Questions!$B:$AA,21,FALSE))=0,"",VLOOKUP($A36,Questions!$B:$AA,21,FALSE))</f>
        <v xml:space="preserve"> </v>
      </c>
      <c r="E36" s="31" t="str">
        <f>IF(LEN(VLOOKUP($A36,Questions!$B:$AA,22,FALSE))=0,"",VLOOKUP($A36,Questions!$B:$AA,22,FALSE))</f>
        <v xml:space="preserve"> </v>
      </c>
      <c r="F36" s="31" t="str">
        <f>IF(LEN(VLOOKUP($A36,Questions!$B:$AA,23,FALSE))=0,"",VLOOKUP($A36,Questions!$B:$AA,23,FALSE))</f>
        <v xml:space="preserve"> </v>
      </c>
      <c r="G36" s="31" t="str">
        <f>IF(LEN(VLOOKUP($A36,Questions!$B:$AA,24,FALSE))=0,"",VLOOKUP($A36,Questions!$B:$AA,24,FALSE))</f>
        <v xml:space="preserve"> </v>
      </c>
      <c r="H36" s="31" t="str">
        <f>IF(LEN(VLOOKUP($A36,Questions!$B:$AA,25,FALSE))=0,"",VLOOKUP($A36,Questions!$B:$AA,25,FALSE))</f>
        <v xml:space="preserve"> </v>
      </c>
      <c r="I36" s="31" t="str">
        <f>IF(LEN(VLOOKUP($A36,Questions!$B:$AA,26,FALSE))=0,"",VLOOKUP($A36,Questions!$B:$AA,26,FALSE))</f>
        <v xml:space="preserve"> </v>
      </c>
      <c r="J36" s="31" t="str">
        <f>IF(LEN(VLOOKUP($A36,Questions!$B:$AB,27,FALSE))=0,"",VLOOKUP($A36,Questions!$B:$AB,27,FALSE))</f>
        <v xml:space="preserve"> </v>
      </c>
    </row>
    <row r="37" spans="1:11" ht="54" customHeight="1">
      <c r="A37" s="10" t="s">
        <v>120</v>
      </c>
      <c r="B37" s="23" t="str">
        <f>VLOOKUP(A37,'HECVAT - Full | Vendor Response'!A$27:B$284,2,FALSE)</f>
        <v>Use this area to share information about your environment that will assist those who are assessing your company data security program.</v>
      </c>
      <c r="C37" s="31" t="str">
        <f>IF(LEN(VLOOKUP($A37,Questions!$B:$AA,20,FALSE))=0,"",VLOOKUP($A37,Questions!$B:$AA,20,FALSE))</f>
        <v xml:space="preserve"> </v>
      </c>
      <c r="D37" s="31" t="str">
        <f>IF(LEN(VLOOKUP($A37,Questions!$B:$AA,21,FALSE))=0,"",VLOOKUP($A37,Questions!$B:$AA,21,FALSE))</f>
        <v xml:space="preserve"> </v>
      </c>
      <c r="E37" s="30" t="str">
        <f>IF(LEN(VLOOKUP($A37,Questions!$B:$AA,22,FALSE))=0,"",VLOOKUP($A37,Questions!$B:$AA,22,FALSE))</f>
        <v xml:space="preserve"> </v>
      </c>
      <c r="F37" s="31" t="str">
        <f>IF(LEN(VLOOKUP($A37,Questions!$B:$AA,23,FALSE))=0,"",VLOOKUP($A37,Questions!$B:$AA,23,FALSE))</f>
        <v xml:space="preserve"> </v>
      </c>
      <c r="G37" s="31" t="str">
        <f>IF(LEN(VLOOKUP($A37,Questions!$B:$AA,24,FALSE))=0,"",VLOOKUP($A37,Questions!$B:$AA,24,FALSE))</f>
        <v xml:space="preserve"> </v>
      </c>
      <c r="H37" s="31" t="str">
        <f>IF(LEN(VLOOKUP($A37,Questions!$B:$AA,25,FALSE))=0,"",VLOOKUP($A37,Questions!$B:$AA,25,FALSE))</f>
        <v xml:space="preserve"> </v>
      </c>
      <c r="I37" s="30" t="str">
        <f>IF(LEN(VLOOKUP($A37,Questions!$B:$AA,26,FALSE))=0,"",VLOOKUP($A37,Questions!$B:$AA,26,FALSE))</f>
        <v xml:space="preserve"> </v>
      </c>
      <c r="J37" s="30" t="str">
        <f>IF(LEN(VLOOKUP($A37,Questions!$B:$AB,27,FALSE))=0,"",VLOOKUP($A37,Questions!$B:$AB,27,FALSE))</f>
        <v xml:space="preserve"> </v>
      </c>
      <c r="K37" s="238" t="s">
        <v>3325</v>
      </c>
    </row>
    <row r="38" spans="1:11" s="28" customFormat="1" ht="36" customHeight="1">
      <c r="A38" s="374" t="s">
        <v>35</v>
      </c>
      <c r="B38" s="375"/>
      <c r="C38" s="18" t="str">
        <f>C$23</f>
        <v>CIS Critical Security Controls v6.1</v>
      </c>
      <c r="D38" s="18" t="str">
        <f t="shared" ref="D38:J38" si="1">D$23</f>
        <v>HIPAA</v>
      </c>
      <c r="E38" s="18" t="str">
        <f t="shared" si="1"/>
        <v>ISO 27002:27013</v>
      </c>
      <c r="F38" s="18" t="str">
        <f t="shared" si="1"/>
        <v>NIST Cybersecurity Framework</v>
      </c>
      <c r="G38" s="18" t="str">
        <f t="shared" si="1"/>
        <v>NIST SP 800-171r2</v>
      </c>
      <c r="H38" s="18" t="str">
        <f t="shared" si="1"/>
        <v>NIST SP 800-53r4</v>
      </c>
      <c r="I38" s="18" t="str">
        <f t="shared" si="1"/>
        <v>PCI DSS</v>
      </c>
      <c r="J38" s="18" t="str">
        <f t="shared" si="1"/>
        <v>Trusted CI</v>
      </c>
      <c r="K38" s="27"/>
    </row>
    <row r="39" spans="1:11" ht="64.5" customHeight="1">
      <c r="A39" s="10" t="s">
        <v>122</v>
      </c>
      <c r="B39" s="23" t="str">
        <f>VLOOKUP(A39,'HECVAT - Full | Vendor Response'!A$27:B$284,2,FALSE)</f>
        <v>Have you undergone a SSAE 18/SOC 2 audit?</v>
      </c>
      <c r="C39" s="31" t="str">
        <f>IF(LEN(VLOOKUP($A39,Questions!$B:$AA,20,FALSE))=0,"",VLOOKUP($A39,Questions!$B:$AA,20,FALSE))</f>
        <v xml:space="preserve"> </v>
      </c>
      <c r="D39" s="31" t="str">
        <f>IF(LEN(VLOOKUP($A39,Questions!$B:$AA,21,FALSE))=0,"",VLOOKUP($A39,Questions!$B:$AA,21,FALSE))</f>
        <v xml:space="preserve"> </v>
      </c>
      <c r="E39" s="30" t="str">
        <f>IF(LEN(VLOOKUP($A39,Questions!$B:$AA,22,FALSE))=0,"",VLOOKUP($A39,Questions!$B:$AA,22,FALSE))</f>
        <v xml:space="preserve"> </v>
      </c>
      <c r="F39" s="31" t="str">
        <f>IF(LEN(VLOOKUP($A39,Questions!$B:$AA,23,FALSE))=0,"",VLOOKUP($A39,Questions!$B:$AA,23,FALSE))</f>
        <v xml:space="preserve"> </v>
      </c>
      <c r="G39" s="31" t="str">
        <f>IF(LEN(VLOOKUP($A39,Questions!$B:$AA,24,FALSE))=0,"",VLOOKUP($A39,Questions!$B:$AA,24,FALSE))</f>
        <v xml:space="preserve"> </v>
      </c>
      <c r="H39" s="30" t="str">
        <f>IF(LEN(VLOOKUP($A39,Questions!$B:$AA,25,FALSE))=0,"",VLOOKUP($A39,Questions!$B:$AA,25,FALSE))</f>
        <v xml:space="preserve"> </v>
      </c>
      <c r="I39" s="31" t="str">
        <f>IF(LEN(VLOOKUP($A39,Questions!$B:$AA,26,FALSE))=0,"",VLOOKUP($A39,Questions!$B:$AA,26,FALSE))</f>
        <v xml:space="preserve"> </v>
      </c>
      <c r="J39" s="31" t="str">
        <f>IF(LEN(VLOOKUP($A39,Questions!$B:$AB,27,FALSE))=0,"",VLOOKUP($A39,Questions!$B:$AB,27,FALSE))</f>
        <v xml:space="preserve"> </v>
      </c>
    </row>
    <row r="40" spans="1:11" ht="48" customHeight="1">
      <c r="A40" s="10" t="s">
        <v>124</v>
      </c>
      <c r="B40" s="23" t="str">
        <f>VLOOKUP(A40,'HECVAT - Full | Vendor Response'!A$27:B$284,2,FALSE)</f>
        <v>Have you completed the Cloud Security Alliance (CSA) self assessment or CAIQ?</v>
      </c>
      <c r="C40" s="31" t="str">
        <f>IF(LEN(VLOOKUP($A40,Questions!$B:$AA,20,FALSE))=0,"",VLOOKUP($A40,Questions!$B:$AA,20,FALSE))</f>
        <v xml:space="preserve"> </v>
      </c>
      <c r="D40" s="31" t="str">
        <f>IF(LEN(VLOOKUP($A40,Questions!$B:$AA,21,FALSE))=0,"",VLOOKUP($A40,Questions!$B:$AA,21,FALSE))</f>
        <v xml:space="preserve"> </v>
      </c>
      <c r="E40" s="30" t="str">
        <f>IF(LEN(VLOOKUP($A40,Questions!$B:$AA,22,FALSE))=0,"",VLOOKUP($A40,Questions!$B:$AA,22,FALSE))</f>
        <v xml:space="preserve"> </v>
      </c>
      <c r="F40" s="31" t="str">
        <f>IF(LEN(VLOOKUP($A40,Questions!$B:$AA,23,FALSE))=0,"",VLOOKUP($A40,Questions!$B:$AA,23,FALSE))</f>
        <v xml:space="preserve"> </v>
      </c>
      <c r="G40" s="31" t="str">
        <f>IF(LEN(VLOOKUP($A40,Questions!$B:$AA,24,FALSE))=0,"",VLOOKUP($A40,Questions!$B:$AA,24,FALSE))</f>
        <v xml:space="preserve"> </v>
      </c>
      <c r="H40" s="30" t="str">
        <f>IF(LEN(VLOOKUP($A40,Questions!$B:$AA,25,FALSE))=0,"",VLOOKUP($A40,Questions!$B:$AA,25,FALSE))</f>
        <v xml:space="preserve"> </v>
      </c>
      <c r="I40" s="31" t="str">
        <f>IF(LEN(VLOOKUP($A40,Questions!$B:$AA,26,FALSE))=0,"",VLOOKUP($A40,Questions!$B:$AA,26,FALSE))</f>
        <v xml:space="preserve"> </v>
      </c>
      <c r="J40" s="31" t="str">
        <f>IF(LEN(VLOOKUP($A40,Questions!$B:$AB,27,FALSE))=0,"",VLOOKUP($A40,Questions!$B:$AB,27,FALSE))</f>
        <v xml:space="preserve"> </v>
      </c>
    </row>
    <row r="41" spans="1:11" ht="48" customHeight="1">
      <c r="A41" s="10" t="s">
        <v>126</v>
      </c>
      <c r="B41" s="23" t="str">
        <f>VLOOKUP(A41,'HECVAT - Full | Vendor Response'!A$27:B$284,2,FALSE)</f>
        <v>Have you received the Cloud Security Alliance STAR certification?</v>
      </c>
      <c r="C41" s="31" t="str">
        <f>IF(LEN(VLOOKUP($A41,Questions!$B:$AA,20,FALSE))=0,"",VLOOKUP($A41,Questions!$B:$AA,20,FALSE))</f>
        <v xml:space="preserve"> </v>
      </c>
      <c r="D41" s="31" t="str">
        <f>IF(LEN(VLOOKUP($A41,Questions!$B:$AA,21,FALSE))=0,"",VLOOKUP($A41,Questions!$B:$AA,21,FALSE))</f>
        <v xml:space="preserve"> </v>
      </c>
      <c r="E41" s="30" t="str">
        <f>IF(LEN(VLOOKUP($A41,Questions!$B:$AA,22,FALSE))=0,"",VLOOKUP($A41,Questions!$B:$AA,22,FALSE))</f>
        <v xml:space="preserve"> </v>
      </c>
      <c r="F41" s="31" t="str">
        <f>IF(LEN(VLOOKUP($A41,Questions!$B:$AA,23,FALSE))=0,"",VLOOKUP($A41,Questions!$B:$AA,23,FALSE))</f>
        <v xml:space="preserve"> </v>
      </c>
      <c r="G41" s="31" t="str">
        <f>IF(LEN(VLOOKUP($A41,Questions!$B:$AA,24,FALSE))=0,"",VLOOKUP($A41,Questions!$B:$AA,24,FALSE))</f>
        <v xml:space="preserve"> </v>
      </c>
      <c r="H41" s="30" t="str">
        <f>IF(LEN(VLOOKUP($A41,Questions!$B:$AA,25,FALSE))=0,"",VLOOKUP($A41,Questions!$B:$AA,25,FALSE))</f>
        <v xml:space="preserve"> </v>
      </c>
      <c r="I41" s="31" t="str">
        <f>IF(LEN(VLOOKUP($A41,Questions!$B:$AA,26,FALSE))=0,"",VLOOKUP($A41,Questions!$B:$AA,26,FALSE))</f>
        <v xml:space="preserve"> </v>
      </c>
      <c r="J41" s="31" t="str">
        <f>IF(LEN(VLOOKUP($A41,Questions!$B:$AB,27,FALSE))=0,"",VLOOKUP($A41,Questions!$B:$AB,27,FALSE))</f>
        <v xml:space="preserve"> </v>
      </c>
    </row>
    <row r="42" spans="1:11" ht="64.5" customHeight="1">
      <c r="A42" s="10" t="s">
        <v>128</v>
      </c>
      <c r="B42" s="23" t="str">
        <f>VLOOKUP(A42,'HECVAT - Full | Vendor Response'!A$27:B$284,2,FALSE)</f>
        <v>Do you conform with a specific industry standard security framework? (e.g., NIST Cybersecurity Framework, CIS Controls, ISO 27001, etc.)</v>
      </c>
      <c r="C42" s="31" t="str">
        <f>IF(LEN(VLOOKUP($A42,Questions!$B:$AA,20,FALSE))=0,"",VLOOKUP($A42,Questions!$B:$AA,20,FALSE))</f>
        <v xml:space="preserve"> </v>
      </c>
      <c r="D42" s="31" t="str">
        <f>IF(LEN(VLOOKUP($A42,Questions!$B:$AA,21,FALSE))=0,"",VLOOKUP($A42,Questions!$B:$AA,21,FALSE))</f>
        <v xml:space="preserve"> </v>
      </c>
      <c r="E42" s="30" t="str">
        <f>IF(LEN(VLOOKUP($A42,Questions!$B:$AA,22,FALSE))=0,"",VLOOKUP($A42,Questions!$B:$AA,22,FALSE))</f>
        <v xml:space="preserve"> </v>
      </c>
      <c r="F42" s="31" t="str">
        <f>IF(LEN(VLOOKUP($A42,Questions!$B:$AA,23,FALSE))=0,"",VLOOKUP($A42,Questions!$B:$AA,23,FALSE))</f>
        <v xml:space="preserve"> </v>
      </c>
      <c r="G42" s="31" t="str">
        <f>IF(LEN(VLOOKUP($A42,Questions!$B:$AA,24,FALSE))=0,"",VLOOKUP($A42,Questions!$B:$AA,24,FALSE))</f>
        <v xml:space="preserve"> </v>
      </c>
      <c r="H42" s="30" t="str">
        <f>IF(LEN(VLOOKUP($A42,Questions!$B:$AA,25,FALSE))=0,"",VLOOKUP($A42,Questions!$B:$AA,25,FALSE))</f>
        <v xml:space="preserve"> </v>
      </c>
      <c r="I42" s="30" t="str">
        <f>IF(LEN(VLOOKUP($A42,Questions!$B:$AA,26,FALSE))=0,"",VLOOKUP($A42,Questions!$B:$AA,26,FALSE))</f>
        <v xml:space="preserve"> </v>
      </c>
      <c r="J42" s="30" t="str">
        <f>IF(LEN(VLOOKUP($A42,Questions!$B:$AB,27,FALSE))=0,"",VLOOKUP($A42,Questions!$B:$AB,27,FALSE))</f>
        <v xml:space="preserve"> </v>
      </c>
    </row>
    <row r="43" spans="1:11" ht="48" customHeight="1">
      <c r="A43" s="10" t="s">
        <v>130</v>
      </c>
      <c r="B43" s="23" t="str">
        <f>VLOOKUP(A43,'HECVAT - Full | Vendor Response'!A$27:B$284,2,FALSE)</f>
        <v>Can the systems that hold the institution's data be compliant with NIST SP 800-171 and/or CMMC Level 2 standards?</v>
      </c>
      <c r="C43" s="31" t="str">
        <f>IF(LEN(VLOOKUP($A43,Questions!$B:$AA,20,FALSE))=0,"",VLOOKUP($A43,Questions!$B:$AA,20,FALSE))</f>
        <v xml:space="preserve"> </v>
      </c>
      <c r="D43" s="31" t="str">
        <f>IF(LEN(VLOOKUP($A43,Questions!$B:$AA,21,FALSE))=0,"",VLOOKUP($A43,Questions!$B:$AA,21,FALSE))</f>
        <v xml:space="preserve"> </v>
      </c>
      <c r="E43" s="30" t="str">
        <f>IF(LEN(VLOOKUP($A43,Questions!$B:$AA,22,FALSE))=0,"",VLOOKUP($A43,Questions!$B:$AA,22,FALSE))</f>
        <v xml:space="preserve"> </v>
      </c>
      <c r="F43" s="31" t="str">
        <f>IF(LEN(VLOOKUP($A43,Questions!$B:$AA,23,FALSE))=0,"",VLOOKUP($A43,Questions!$B:$AA,23,FALSE))</f>
        <v xml:space="preserve"> </v>
      </c>
      <c r="G43" s="31" t="str">
        <f>IF(LEN(VLOOKUP($A43,Questions!$B:$AA,24,FALSE))=0,"",VLOOKUP($A43,Questions!$B:$AA,24,FALSE))</f>
        <v xml:space="preserve"> </v>
      </c>
      <c r="H43" s="30" t="str">
        <f>IF(LEN(VLOOKUP($A43,Questions!$B:$AA,25,FALSE))=0,"",VLOOKUP($A43,Questions!$B:$AA,25,FALSE))</f>
        <v xml:space="preserve"> </v>
      </c>
      <c r="I43" s="31" t="str">
        <f>IF(LEN(VLOOKUP($A43,Questions!$B:$AA,26,FALSE))=0,"",VLOOKUP($A43,Questions!$B:$AA,26,FALSE))</f>
        <v xml:space="preserve"> </v>
      </c>
      <c r="J43" s="31" t="str">
        <f>IF(LEN(VLOOKUP($A43,Questions!$B:$AB,27,FALSE))=0,"",VLOOKUP($A43,Questions!$B:$AB,27,FALSE))</f>
        <v xml:space="preserve"> </v>
      </c>
    </row>
    <row r="44" spans="1:11" ht="48" customHeight="1">
      <c r="A44" s="10" t="s">
        <v>132</v>
      </c>
      <c r="B44" s="23" t="str">
        <f>VLOOKUP(A44,'HECVAT - Full | Vendor Response'!A$27:B$284,2,FALSE)</f>
        <v>Can you provide overall system and/or application architecture diagrams, including a full description of the data flow for all components of the system?</v>
      </c>
      <c r="C44" s="31" t="str">
        <f>IF(LEN(VLOOKUP($A44,Questions!$B:$AA,20,FALSE))=0,"",VLOOKUP($A44,Questions!$B:$AA,20,FALSE))</f>
        <v xml:space="preserve"> </v>
      </c>
      <c r="D44" s="30" t="str">
        <f>IF(LEN(VLOOKUP($A44,Questions!$B:$AA,21,FALSE))=0,"",VLOOKUP($A44,Questions!$B:$AA,21,FALSE))</f>
        <v xml:space="preserve"> </v>
      </c>
      <c r="E44" s="30" t="str">
        <f>IF(LEN(VLOOKUP($A44,Questions!$B:$AA,22,FALSE))=0,"",VLOOKUP($A44,Questions!$B:$AA,22,FALSE))</f>
        <v xml:space="preserve"> </v>
      </c>
      <c r="F44" s="30" t="str">
        <f>IF(LEN(VLOOKUP($A44,Questions!$B:$AA,23,FALSE))=0,"",VLOOKUP($A44,Questions!$B:$AA,23,FALSE))</f>
        <v xml:space="preserve"> </v>
      </c>
      <c r="G44" s="30" t="str">
        <f>IF(LEN(VLOOKUP($A44,Questions!$B:$AA,24,FALSE))=0,"",VLOOKUP($A44,Questions!$B:$AA,24,FALSE))</f>
        <v xml:space="preserve"> </v>
      </c>
      <c r="H44" s="30" t="str">
        <f>IF(LEN(VLOOKUP($A44,Questions!$B:$AA,25,FALSE))=0,"",VLOOKUP($A44,Questions!$B:$AA,25,FALSE))</f>
        <v xml:space="preserve"> </v>
      </c>
      <c r="I44" s="31" t="str">
        <f>IF(LEN(VLOOKUP($A44,Questions!$B:$AA,26,FALSE))=0,"",VLOOKUP($A44,Questions!$B:$AA,26,FALSE))</f>
        <v xml:space="preserve"> </v>
      </c>
      <c r="J44" s="31" t="str">
        <f>IF(LEN(VLOOKUP($A44,Questions!$B:$AB,27,FALSE))=0,"",VLOOKUP($A44,Questions!$B:$AB,27,FALSE))</f>
        <v xml:space="preserve"> </v>
      </c>
    </row>
    <row r="45" spans="1:11" ht="48" customHeight="1">
      <c r="A45" s="10" t="s">
        <v>134</v>
      </c>
      <c r="B45" s="23" t="str">
        <f>VLOOKUP(A45,'HECVAT - Full | Vendor Response'!A$27:B$284,2,FALSE)</f>
        <v>Does your organization have a data privacy policy?</v>
      </c>
      <c r="C45" s="31" t="str">
        <f>IF(LEN(VLOOKUP($A45,Questions!$B:$AA,20,FALSE))=0,"",VLOOKUP($A45,Questions!$B:$AA,20,FALSE))</f>
        <v xml:space="preserve"> </v>
      </c>
      <c r="D45" s="30" t="str">
        <f>IF(LEN(VLOOKUP($A45,Questions!$B:$AA,21,FALSE))=0,"",VLOOKUP($A45,Questions!$B:$AA,21,FALSE))</f>
        <v xml:space="preserve"> </v>
      </c>
      <c r="E45" s="30" t="str">
        <f>IF(LEN(VLOOKUP($A45,Questions!$B:$AA,22,FALSE))=0,"",VLOOKUP($A45,Questions!$B:$AA,22,FALSE))</f>
        <v xml:space="preserve"> </v>
      </c>
      <c r="F45" s="30" t="str">
        <f>IF(LEN(VLOOKUP($A45,Questions!$B:$AA,23,FALSE))=0,"",VLOOKUP($A45,Questions!$B:$AA,23,FALSE))</f>
        <v xml:space="preserve"> </v>
      </c>
      <c r="G45" s="30" t="str">
        <f>IF(LEN(VLOOKUP($A45,Questions!$B:$AA,24,FALSE))=0,"",VLOOKUP($A45,Questions!$B:$AA,24,FALSE))</f>
        <v xml:space="preserve"> </v>
      </c>
      <c r="H45" s="30" t="str">
        <f>IF(LEN(VLOOKUP($A45,Questions!$B:$AA,25,FALSE))=0,"",VLOOKUP($A45,Questions!$B:$AA,25,FALSE))</f>
        <v xml:space="preserve"> </v>
      </c>
      <c r="I45" s="31" t="str">
        <f>IF(LEN(VLOOKUP($A45,Questions!$B:$AA,26,FALSE))=0,"",VLOOKUP($A45,Questions!$B:$AA,26,FALSE))</f>
        <v xml:space="preserve"> </v>
      </c>
      <c r="J45" s="31" t="str">
        <f>IF(LEN(VLOOKUP($A45,Questions!$B:$AB,27,FALSE))=0,"",VLOOKUP($A45,Questions!$B:$AB,27,FALSE))</f>
        <v xml:space="preserve"> </v>
      </c>
    </row>
    <row r="46" spans="1:11" ht="48" customHeight="1">
      <c r="A46" s="10" t="s">
        <v>135</v>
      </c>
      <c r="B46" s="23" t="str">
        <f>VLOOKUP(A46,'HECVAT - Full | Vendor Response'!A$27:B$284,2,FALSE)</f>
        <v>Do you have a documented, and currently implemented, employee onboarding and offboarding policy?</v>
      </c>
      <c r="C46" s="31" t="str">
        <f>IF(LEN(VLOOKUP($A46,Questions!$B:$AA,20,FALSE))=0,"",VLOOKUP($A46,Questions!$B:$AA,20,FALSE))</f>
        <v xml:space="preserve"> </v>
      </c>
      <c r="D46" s="30" t="str">
        <f>IF(LEN(VLOOKUP($A46,Questions!$B:$AA,21,FALSE))=0,"",VLOOKUP($A46,Questions!$B:$AA,21,FALSE))</f>
        <v xml:space="preserve"> </v>
      </c>
      <c r="E46" s="30" t="str">
        <f>IF(LEN(VLOOKUP($A46,Questions!$B:$AA,22,FALSE))=0,"",VLOOKUP($A46,Questions!$B:$AA,22,FALSE))</f>
        <v xml:space="preserve"> </v>
      </c>
      <c r="F46" s="30" t="str">
        <f>IF(LEN(VLOOKUP($A46,Questions!$B:$AA,23,FALSE))=0,"",VLOOKUP($A46,Questions!$B:$AA,23,FALSE))</f>
        <v xml:space="preserve"> </v>
      </c>
      <c r="G46" s="30" t="str">
        <f>IF(LEN(VLOOKUP($A46,Questions!$B:$AA,24,FALSE))=0,"",VLOOKUP($A46,Questions!$B:$AA,24,FALSE))</f>
        <v xml:space="preserve"> </v>
      </c>
      <c r="H46" s="30" t="str">
        <f>IF(LEN(VLOOKUP($A46,Questions!$B:$AA,25,FALSE))=0,"",VLOOKUP($A46,Questions!$B:$AA,25,FALSE))</f>
        <v xml:space="preserve"> </v>
      </c>
      <c r="I46" s="31" t="str">
        <f>IF(LEN(VLOOKUP($A46,Questions!$B:$AA,26,FALSE))=0,"",VLOOKUP($A46,Questions!$B:$AA,26,FALSE))</f>
        <v xml:space="preserve"> </v>
      </c>
      <c r="J46" s="31" t="str">
        <f>IF(LEN(VLOOKUP($A46,Questions!$B:$AB,27,FALSE))=0,"",VLOOKUP($A46,Questions!$B:$AB,27,FALSE))</f>
        <v xml:space="preserve"> </v>
      </c>
    </row>
    <row r="47" spans="1:11" ht="48" customHeight="1">
      <c r="A47" s="10" t="s">
        <v>137</v>
      </c>
      <c r="B47" s="23" t="str">
        <f>VLOOKUP(A47,'HECVAT - Full | Vendor Response'!A$27:B$284,2,FALSE)</f>
        <v>Do you have a documented change management process?</v>
      </c>
      <c r="C47" s="31" t="str">
        <f>IF(LEN(VLOOKUP($A47,Questions!$B:$AA,20,FALSE))=0,"",VLOOKUP($A47,Questions!$B:$AA,20,FALSE))</f>
        <v xml:space="preserve"> </v>
      </c>
      <c r="D47" s="30" t="str">
        <f>IF(LEN(VLOOKUP($A47,Questions!$B:$AA,21,FALSE))=0,"",VLOOKUP($A47,Questions!$B:$AA,21,FALSE))</f>
        <v xml:space="preserve"> </v>
      </c>
      <c r="E47" s="30" t="str">
        <f>IF(LEN(VLOOKUP($A47,Questions!$B:$AA,22,FALSE))=0,"",VLOOKUP($A47,Questions!$B:$AA,22,FALSE))</f>
        <v xml:space="preserve"> </v>
      </c>
      <c r="F47" s="30" t="str">
        <f>IF(LEN(VLOOKUP($A47,Questions!$B:$AA,23,FALSE))=0,"",VLOOKUP($A47,Questions!$B:$AA,23,FALSE))</f>
        <v xml:space="preserve"> </v>
      </c>
      <c r="G47" s="30" t="str">
        <f>IF(LEN(VLOOKUP($A47,Questions!$B:$AA,24,FALSE))=0,"",VLOOKUP($A47,Questions!$B:$AA,24,FALSE))</f>
        <v xml:space="preserve"> </v>
      </c>
      <c r="H47" s="30" t="str">
        <f>IF(LEN(VLOOKUP($A47,Questions!$B:$AA,25,FALSE))=0,"",VLOOKUP($A47,Questions!$B:$AA,25,FALSE))</f>
        <v xml:space="preserve"> </v>
      </c>
      <c r="I47" s="31" t="str">
        <f>IF(LEN(VLOOKUP($A47,Questions!$B:$AA,26,FALSE))=0,"",VLOOKUP($A47,Questions!$B:$AA,26,FALSE))</f>
        <v xml:space="preserve"> </v>
      </c>
      <c r="J47" s="31" t="str">
        <f>IF(LEN(VLOOKUP($A47,Questions!$B:$AB,27,FALSE))=0,"",VLOOKUP($A47,Questions!$B:$AB,27,FALSE))</f>
        <v xml:space="preserve"> </v>
      </c>
    </row>
    <row r="48" spans="1:11" ht="48" customHeight="1">
      <c r="A48" s="10" t="s">
        <v>139</v>
      </c>
      <c r="B48" s="23" t="str">
        <f>VLOOKUP(A48,'HECVAT - Full | Vendor Response'!A$27:B$284,2,FALSE)</f>
        <v>Has a VPAT or ACR been created or updated for the product and version under consideration within the past year?</v>
      </c>
      <c r="C48" s="31" t="str">
        <f>IF(LEN(VLOOKUP($A48,Questions!$B:$AA,20,FALSE))=0,"",VLOOKUP($A48,Questions!$B:$AA,20,FALSE))</f>
        <v xml:space="preserve"> </v>
      </c>
      <c r="D48" s="30" t="str">
        <f>IF(LEN(VLOOKUP($A48,Questions!$B:$AA,21,FALSE))=0,"",VLOOKUP($A48,Questions!$B:$AA,21,FALSE))</f>
        <v xml:space="preserve"> </v>
      </c>
      <c r="E48" s="30" t="str">
        <f>IF(LEN(VLOOKUP($A48,Questions!$B:$AA,22,FALSE))=0,"",VLOOKUP($A48,Questions!$B:$AA,22,FALSE))</f>
        <v xml:space="preserve"> </v>
      </c>
      <c r="F48" s="30" t="str">
        <f>IF(LEN(VLOOKUP($A48,Questions!$B:$AA,23,FALSE))=0,"",VLOOKUP($A48,Questions!$B:$AA,23,FALSE))</f>
        <v xml:space="preserve"> </v>
      </c>
      <c r="G48" s="30" t="str">
        <f>IF(LEN(VLOOKUP($A48,Questions!$B:$AA,24,FALSE))=0,"",VLOOKUP($A48,Questions!$B:$AA,24,FALSE))</f>
        <v xml:space="preserve"> </v>
      </c>
      <c r="H48" s="30" t="str">
        <f>IF(LEN(VLOOKUP($A48,Questions!$B:$AA,25,FALSE))=0,"",VLOOKUP($A48,Questions!$B:$AA,25,FALSE))</f>
        <v xml:space="preserve"> </v>
      </c>
      <c r="I48" s="31" t="str">
        <f>IF(LEN(VLOOKUP($A48,Questions!$B:$AA,26,FALSE))=0,"",VLOOKUP($A48,Questions!$B:$AA,26,FALSE))</f>
        <v xml:space="preserve"> </v>
      </c>
      <c r="J48" s="31" t="str">
        <f>IF(LEN(VLOOKUP($A48,Questions!$B:$AB,27,FALSE))=0,"",VLOOKUP($A48,Questions!$B:$AB,27,FALSE))</f>
        <v xml:space="preserve"> </v>
      </c>
    </row>
    <row r="49" spans="1:11" ht="48" customHeight="1">
      <c r="A49" s="10" t="s">
        <v>141</v>
      </c>
      <c r="B49" s="23" t="str">
        <f>VLOOKUP(A49,'HECVAT - Full | Vendor Response'!A$27:B$284,2,FALSE)</f>
        <v>Do you have documentation to support the accessibility features of your product?</v>
      </c>
      <c r="C49" s="31" t="str">
        <f>IF(LEN(VLOOKUP($A49,Questions!$B:$AA,20,FALSE))=0,"",VLOOKUP($A49,Questions!$B:$AA,20,FALSE))</f>
        <v xml:space="preserve"> </v>
      </c>
      <c r="D49" s="30" t="str">
        <f>IF(LEN(VLOOKUP($A49,Questions!$B:$AA,21,FALSE))=0,"",VLOOKUP($A49,Questions!$B:$AA,21,FALSE))</f>
        <v xml:space="preserve"> </v>
      </c>
      <c r="E49" s="30" t="str">
        <f>IF(LEN(VLOOKUP($A49,Questions!$B:$AA,22,FALSE))=0,"",VLOOKUP($A49,Questions!$B:$AA,22,FALSE))</f>
        <v xml:space="preserve"> </v>
      </c>
      <c r="F49" s="30" t="str">
        <f>IF(LEN(VLOOKUP($A49,Questions!$B:$AA,23,FALSE))=0,"",VLOOKUP($A49,Questions!$B:$AA,23,FALSE))</f>
        <v xml:space="preserve"> </v>
      </c>
      <c r="G49" s="30" t="str">
        <f>IF(LEN(VLOOKUP($A49,Questions!$B:$AA,24,FALSE))=0,"",VLOOKUP($A49,Questions!$B:$AA,24,FALSE))</f>
        <v xml:space="preserve"> </v>
      </c>
      <c r="H49" s="30" t="str">
        <f>IF(LEN(VLOOKUP($A49,Questions!$B:$AA,25,FALSE))=0,"",VLOOKUP($A49,Questions!$B:$AA,25,FALSE))</f>
        <v xml:space="preserve"> </v>
      </c>
      <c r="I49" s="31" t="str">
        <f>IF(LEN(VLOOKUP($A49,Questions!$B:$AA,26,FALSE))=0,"",VLOOKUP($A49,Questions!$B:$AA,26,FALSE))</f>
        <v xml:space="preserve"> </v>
      </c>
      <c r="J49" s="31" t="str">
        <f>IF(LEN(VLOOKUP($A49,Questions!$B:$AB,27,FALSE))=0,"",VLOOKUP($A49,Questions!$B:$AB,27,FALSE))</f>
        <v xml:space="preserve"> </v>
      </c>
      <c r="K49" s="238" t="s">
        <v>3325</v>
      </c>
    </row>
    <row r="50" spans="1:11" ht="36" customHeight="1">
      <c r="A50" s="283" t="s">
        <v>2456</v>
      </c>
      <c r="B50" s="283"/>
      <c r="C50" s="18" t="str">
        <f t="shared" ref="C50:J50" si="2">C$23</f>
        <v>CIS Critical Security Controls v6.1</v>
      </c>
      <c r="D50" s="18" t="str">
        <f t="shared" si="2"/>
        <v>HIPAA</v>
      </c>
      <c r="E50" s="18" t="str">
        <f t="shared" si="2"/>
        <v>ISO 27002:27013</v>
      </c>
      <c r="F50" s="18" t="str">
        <f t="shared" si="2"/>
        <v>NIST Cybersecurity Framework</v>
      </c>
      <c r="G50" s="18" t="str">
        <f t="shared" si="2"/>
        <v>NIST SP 800-171r2</v>
      </c>
      <c r="H50" s="18" t="str">
        <f t="shared" si="2"/>
        <v>NIST SP 800-53r4</v>
      </c>
      <c r="I50" s="18" t="str">
        <f t="shared" si="2"/>
        <v>PCI DSS</v>
      </c>
      <c r="J50" s="18" t="str">
        <f t="shared" si="2"/>
        <v>Trusted CI</v>
      </c>
    </row>
    <row r="51" spans="1:11" ht="96" customHeight="1">
      <c r="A51" s="10" t="s">
        <v>144</v>
      </c>
      <c r="B51" s="23" t="str">
        <f>VLOOKUP(A51,'HECVAT - Full | Vendor Response'!A$27:B$284,2,FALSE)</f>
        <v>Has a third-party expert conducted an audit of the most recent version of your product?</v>
      </c>
      <c r="C51" s="31" t="str">
        <f>IF(LEN(VLOOKUP($A51,Questions!$B:$AA,20,FALSE))=0,"",VLOOKUP($A51,Questions!$B:$AA,20,FALSE))</f>
        <v xml:space="preserve"> </v>
      </c>
      <c r="D51" s="30" t="str">
        <f>IF(LEN(VLOOKUP($A51,Questions!$B:$AA,21,FALSE))=0,"",VLOOKUP($A51,Questions!$B:$AA,21,FALSE))</f>
        <v xml:space="preserve"> </v>
      </c>
      <c r="E51" s="30" t="str">
        <f>IF(LEN(VLOOKUP($A51,Questions!$B:$AA,22,FALSE))=0,"",VLOOKUP($A51,Questions!$B:$AA,22,FALSE))</f>
        <v xml:space="preserve"> </v>
      </c>
      <c r="F51" s="30" t="str">
        <f>IF(LEN(VLOOKUP($A51,Questions!$B:$AA,23,FALSE))=0,"",VLOOKUP($A51,Questions!$B:$AA,23,FALSE))</f>
        <v xml:space="preserve"> </v>
      </c>
      <c r="G51" s="30" t="str">
        <f>IF(LEN(VLOOKUP($A51,Questions!$B:$AA,24,FALSE))=0,"",VLOOKUP($A51,Questions!$B:$AA,24,FALSE))</f>
        <v xml:space="preserve"> </v>
      </c>
      <c r="H51" s="30" t="str">
        <f>IF(LEN(VLOOKUP($A51,Questions!$B:$AA,25,FALSE))=0,"",VLOOKUP($A51,Questions!$B:$AA,25,FALSE))</f>
        <v xml:space="preserve"> </v>
      </c>
      <c r="I51" s="31" t="str">
        <f>IF(LEN(VLOOKUP($A51,Questions!$B:$AA,26,FALSE))=0,"",VLOOKUP($A51,Questions!$B:$AA,26,FALSE))</f>
        <v xml:space="preserve"> </v>
      </c>
      <c r="J51" s="31" t="str">
        <f>IF(LEN(VLOOKUP($A51,Questions!$B:$AB,27,FALSE))=0,"",VLOOKUP($A51,Questions!$B:$AB,27,FALSE))</f>
        <v xml:space="preserve"> </v>
      </c>
    </row>
    <row r="52" spans="1:11" ht="96" customHeight="1">
      <c r="A52" s="10" t="s">
        <v>146</v>
      </c>
      <c r="B52" s="23" t="str">
        <f>VLOOKUP(A52,'HECVAT - Full | Vendor Response'!A$27:B$284,2,FALSE)</f>
        <v>Do you have a documented and implemented process for verifying accessibility conformance?</v>
      </c>
      <c r="C52" s="31" t="str">
        <f>IF(LEN(VLOOKUP($A52,Questions!$B:$AA,20,FALSE))=0,"",VLOOKUP($A52,Questions!$B:$AA,20,FALSE))</f>
        <v xml:space="preserve"> </v>
      </c>
      <c r="D52" s="30" t="str">
        <f>IF(LEN(VLOOKUP($A52,Questions!$B:$AA,21,FALSE))=0,"",VLOOKUP($A52,Questions!$B:$AA,21,FALSE))</f>
        <v xml:space="preserve"> </v>
      </c>
      <c r="E52" s="30" t="str">
        <f>IF(LEN(VLOOKUP($A52,Questions!$B:$AA,22,FALSE))=0,"",VLOOKUP($A52,Questions!$B:$AA,22,FALSE))</f>
        <v xml:space="preserve"> </v>
      </c>
      <c r="F52" s="30" t="str">
        <f>IF(LEN(VLOOKUP($A52,Questions!$B:$AA,23,FALSE))=0,"",VLOOKUP($A52,Questions!$B:$AA,23,FALSE))</f>
        <v xml:space="preserve"> </v>
      </c>
      <c r="G52" s="30" t="str">
        <f>IF(LEN(VLOOKUP($A52,Questions!$B:$AA,24,FALSE))=0,"",VLOOKUP($A52,Questions!$B:$AA,24,FALSE))</f>
        <v xml:space="preserve"> </v>
      </c>
      <c r="H52" s="30" t="str">
        <f>IF(LEN(VLOOKUP($A52,Questions!$B:$AA,25,FALSE))=0,"",VLOOKUP($A52,Questions!$B:$AA,25,FALSE))</f>
        <v xml:space="preserve"> </v>
      </c>
      <c r="I52" s="31" t="str">
        <f>IF(LEN(VLOOKUP($A52,Questions!$B:$AA,26,FALSE))=0,"",VLOOKUP($A52,Questions!$B:$AA,26,FALSE))</f>
        <v xml:space="preserve"> </v>
      </c>
      <c r="J52" s="31" t="str">
        <f>IF(LEN(VLOOKUP($A52,Questions!$B:$AB,27,FALSE))=0,"",VLOOKUP($A52,Questions!$B:$AB,27,FALSE))</f>
        <v xml:space="preserve"> </v>
      </c>
    </row>
    <row r="53" spans="1:11" ht="96" customHeight="1">
      <c r="A53" s="10" t="s">
        <v>148</v>
      </c>
      <c r="B53" s="23" t="str">
        <f>VLOOKUP(A53,'HECVAT - Full | Vendor Response'!A$27:B$284,2,FALSE)</f>
        <v>Have you adopted a technical or legal standard of conformance for the product in question?</v>
      </c>
      <c r="C53" s="31" t="str">
        <f>IF(LEN(VLOOKUP($A53,Questions!$B:$AA,20,FALSE))=0,"",VLOOKUP($A53,Questions!$B:$AA,20,FALSE))</f>
        <v xml:space="preserve"> </v>
      </c>
      <c r="D53" s="30" t="str">
        <f>IF(LEN(VLOOKUP($A53,Questions!$B:$AA,21,FALSE))=0,"",VLOOKUP($A53,Questions!$B:$AA,21,FALSE))</f>
        <v xml:space="preserve"> </v>
      </c>
      <c r="E53" s="30" t="str">
        <f>IF(LEN(VLOOKUP($A53,Questions!$B:$AA,22,FALSE))=0,"",VLOOKUP($A53,Questions!$B:$AA,22,FALSE))</f>
        <v xml:space="preserve"> </v>
      </c>
      <c r="F53" s="30" t="str">
        <f>IF(LEN(VLOOKUP($A53,Questions!$B:$AA,23,FALSE))=0,"",VLOOKUP($A53,Questions!$B:$AA,23,FALSE))</f>
        <v xml:space="preserve"> </v>
      </c>
      <c r="G53" s="30" t="str">
        <f>IF(LEN(VLOOKUP($A53,Questions!$B:$AA,24,FALSE))=0,"",VLOOKUP($A53,Questions!$B:$AA,24,FALSE))</f>
        <v xml:space="preserve"> </v>
      </c>
      <c r="H53" s="30" t="str">
        <f>IF(LEN(VLOOKUP($A53,Questions!$B:$AA,25,FALSE))=0,"",VLOOKUP($A53,Questions!$B:$AA,25,FALSE))</f>
        <v xml:space="preserve"> </v>
      </c>
      <c r="I53" s="31" t="str">
        <f>IF(LEN(VLOOKUP($A53,Questions!$B:$AA,26,FALSE))=0,"",VLOOKUP($A53,Questions!$B:$AA,26,FALSE))</f>
        <v xml:space="preserve"> </v>
      </c>
      <c r="J53" s="31" t="str">
        <f>IF(LEN(VLOOKUP($A53,Questions!$B:$AB,27,FALSE))=0,"",VLOOKUP($A53,Questions!$B:$AB,27,FALSE))</f>
        <v xml:space="preserve"> </v>
      </c>
    </row>
    <row r="54" spans="1:11" ht="96" customHeight="1">
      <c r="A54" s="10" t="s">
        <v>150</v>
      </c>
      <c r="B54" s="23" t="str">
        <f>VLOOKUP(A54,'HECVAT - Full | Vendor Response'!A$27:B$284,2,FALSE)</f>
        <v>Can you provide a current, detailed accessibility roadmap with delivery timelines?</v>
      </c>
      <c r="C54" s="31" t="str">
        <f>IF(LEN(VLOOKUP($A54,Questions!$B:$AA,20,FALSE))=0,"",VLOOKUP($A54,Questions!$B:$AA,20,FALSE))</f>
        <v xml:space="preserve"> </v>
      </c>
      <c r="D54" s="30" t="str">
        <f>IF(LEN(VLOOKUP($A54,Questions!$B:$AA,21,FALSE))=0,"",VLOOKUP($A54,Questions!$B:$AA,21,FALSE))</f>
        <v xml:space="preserve"> </v>
      </c>
      <c r="E54" s="30" t="str">
        <f>IF(LEN(VLOOKUP($A54,Questions!$B:$AA,22,FALSE))=0,"",VLOOKUP($A54,Questions!$B:$AA,22,FALSE))</f>
        <v xml:space="preserve"> </v>
      </c>
      <c r="F54" s="30" t="str">
        <f>IF(LEN(VLOOKUP($A54,Questions!$B:$AA,23,FALSE))=0,"",VLOOKUP($A54,Questions!$B:$AA,23,FALSE))</f>
        <v xml:space="preserve"> </v>
      </c>
      <c r="G54" s="30" t="str">
        <f>IF(LEN(VLOOKUP($A54,Questions!$B:$AA,24,FALSE))=0,"",VLOOKUP($A54,Questions!$B:$AA,24,FALSE))</f>
        <v xml:space="preserve"> </v>
      </c>
      <c r="H54" s="30" t="str">
        <f>IF(LEN(VLOOKUP($A54,Questions!$B:$AA,25,FALSE))=0,"",VLOOKUP($A54,Questions!$B:$AA,25,FALSE))</f>
        <v xml:space="preserve"> </v>
      </c>
      <c r="I54" s="31" t="str">
        <f>IF(LEN(VLOOKUP($A54,Questions!$B:$AA,26,FALSE))=0,"",VLOOKUP($A54,Questions!$B:$AA,26,FALSE))</f>
        <v xml:space="preserve"> </v>
      </c>
      <c r="J54" s="31" t="str">
        <f>IF(LEN(VLOOKUP($A54,Questions!$B:$AB,27,FALSE))=0,"",VLOOKUP($A54,Questions!$B:$AB,27,FALSE))</f>
        <v xml:space="preserve"> </v>
      </c>
    </row>
    <row r="55" spans="1:11" ht="96" customHeight="1">
      <c r="A55" s="10" t="s">
        <v>152</v>
      </c>
      <c r="B55" s="23" t="str">
        <f>VLOOKUP(A55,'HECVAT - Full | Vendor Response'!A$27:B$284,2,FALSE)</f>
        <v>Do you expect your staff to maintain a current skill set in IT accessibility?</v>
      </c>
      <c r="C55" s="31" t="str">
        <f>IF(LEN(VLOOKUP($A55,Questions!$B:$AA,20,FALSE))=0,"",VLOOKUP($A55,Questions!$B:$AA,20,FALSE))</f>
        <v xml:space="preserve"> </v>
      </c>
      <c r="D55" s="30" t="str">
        <f>IF(LEN(VLOOKUP($A55,Questions!$B:$AA,21,FALSE))=0,"",VLOOKUP($A55,Questions!$B:$AA,21,FALSE))</f>
        <v xml:space="preserve"> </v>
      </c>
      <c r="E55" s="30" t="str">
        <f>IF(LEN(VLOOKUP($A55,Questions!$B:$AA,22,FALSE))=0,"",VLOOKUP($A55,Questions!$B:$AA,22,FALSE))</f>
        <v xml:space="preserve"> </v>
      </c>
      <c r="F55" s="30" t="str">
        <f>IF(LEN(VLOOKUP($A55,Questions!$B:$AA,23,FALSE))=0,"",VLOOKUP($A55,Questions!$B:$AA,23,FALSE))</f>
        <v xml:space="preserve"> </v>
      </c>
      <c r="G55" s="30" t="str">
        <f>IF(LEN(VLOOKUP($A55,Questions!$B:$AA,24,FALSE))=0,"",VLOOKUP($A55,Questions!$B:$AA,24,FALSE))</f>
        <v xml:space="preserve"> </v>
      </c>
      <c r="H55" s="30" t="str">
        <f>IF(LEN(VLOOKUP($A55,Questions!$B:$AA,25,FALSE))=0,"",VLOOKUP($A55,Questions!$B:$AA,25,FALSE))</f>
        <v xml:space="preserve"> </v>
      </c>
      <c r="I55" s="31" t="str">
        <f>IF(LEN(VLOOKUP($A55,Questions!$B:$AA,26,FALSE))=0,"",VLOOKUP($A55,Questions!$B:$AA,26,FALSE))</f>
        <v xml:space="preserve"> </v>
      </c>
      <c r="J55" s="31" t="str">
        <f>IF(LEN(VLOOKUP($A55,Questions!$B:$AB,27,FALSE))=0,"",VLOOKUP($A55,Questions!$B:$AB,27,FALSE))</f>
        <v xml:space="preserve"> </v>
      </c>
    </row>
    <row r="56" spans="1:11" ht="96" customHeight="1">
      <c r="A56" s="10" t="s">
        <v>154</v>
      </c>
      <c r="B56" s="23" t="str">
        <f>VLOOKUP(A56,'HECVAT - Full | Vendor Response'!A$27:B$284,2,FALSE)</f>
        <v>Do you have a documented and implemented process for reporting and tracking accessibility issues?</v>
      </c>
      <c r="C56" s="31" t="str">
        <f>IF(LEN(VLOOKUP($A56,Questions!$B:$AA,20,FALSE))=0,"",VLOOKUP($A56,Questions!$B:$AA,20,FALSE))</f>
        <v xml:space="preserve"> </v>
      </c>
      <c r="D56" s="30" t="str">
        <f>IF(LEN(VLOOKUP($A56,Questions!$B:$AA,21,FALSE))=0,"",VLOOKUP($A56,Questions!$B:$AA,21,FALSE))</f>
        <v xml:space="preserve"> </v>
      </c>
      <c r="E56" s="30" t="str">
        <f>IF(LEN(VLOOKUP($A56,Questions!$B:$AA,22,FALSE))=0,"",VLOOKUP($A56,Questions!$B:$AA,22,FALSE))</f>
        <v xml:space="preserve"> </v>
      </c>
      <c r="F56" s="30" t="str">
        <f>IF(LEN(VLOOKUP($A56,Questions!$B:$AA,23,FALSE))=0,"",VLOOKUP($A56,Questions!$B:$AA,23,FALSE))</f>
        <v xml:space="preserve"> </v>
      </c>
      <c r="G56" s="30" t="str">
        <f>IF(LEN(VLOOKUP($A56,Questions!$B:$AA,24,FALSE))=0,"",VLOOKUP($A56,Questions!$B:$AA,24,FALSE))</f>
        <v xml:space="preserve"> </v>
      </c>
      <c r="H56" s="30" t="str">
        <f>IF(LEN(VLOOKUP($A56,Questions!$B:$AA,25,FALSE))=0,"",VLOOKUP($A56,Questions!$B:$AA,25,FALSE))</f>
        <v xml:space="preserve"> </v>
      </c>
      <c r="I56" s="31" t="str">
        <f>IF(LEN(VLOOKUP($A56,Questions!$B:$AA,26,FALSE))=0,"",VLOOKUP($A56,Questions!$B:$AA,26,FALSE))</f>
        <v xml:space="preserve"> </v>
      </c>
      <c r="J56" s="31" t="str">
        <f>IF(LEN(VLOOKUP($A56,Questions!$B:$AB,27,FALSE))=0,"",VLOOKUP($A56,Questions!$B:$AB,27,FALSE))</f>
        <v xml:space="preserve"> </v>
      </c>
    </row>
    <row r="57" spans="1:11" ht="96" customHeight="1">
      <c r="A57" s="10" t="s">
        <v>156</v>
      </c>
      <c r="B57" s="23" t="str">
        <f>VLOOKUP(A57,'HECVAT - Full | Vendor Response'!A$27:B$284,2,FALSE)</f>
        <v>Do you have documented processes and procedures for implementing accessibility into your development lifecycle?</v>
      </c>
      <c r="C57" s="31" t="str">
        <f>IF(LEN(VLOOKUP($A57,Questions!$B:$AA,20,FALSE))=0,"",VLOOKUP($A57,Questions!$B:$AA,20,FALSE))</f>
        <v xml:space="preserve"> </v>
      </c>
      <c r="D57" s="30" t="str">
        <f>IF(LEN(VLOOKUP($A57,Questions!$B:$AA,21,FALSE))=0,"",VLOOKUP($A57,Questions!$B:$AA,21,FALSE))</f>
        <v xml:space="preserve"> </v>
      </c>
      <c r="E57" s="30" t="str">
        <f>IF(LEN(VLOOKUP($A57,Questions!$B:$AA,22,FALSE))=0,"",VLOOKUP($A57,Questions!$B:$AA,22,FALSE))</f>
        <v xml:space="preserve"> </v>
      </c>
      <c r="F57" s="30" t="str">
        <f>IF(LEN(VLOOKUP($A57,Questions!$B:$AA,23,FALSE))=0,"",VLOOKUP($A57,Questions!$B:$AA,23,FALSE))</f>
        <v xml:space="preserve"> </v>
      </c>
      <c r="G57" s="30" t="str">
        <f>IF(LEN(VLOOKUP($A57,Questions!$B:$AA,24,FALSE))=0,"",VLOOKUP($A57,Questions!$B:$AA,24,FALSE))</f>
        <v xml:space="preserve"> </v>
      </c>
      <c r="H57" s="30" t="str">
        <f>IF(LEN(VLOOKUP($A57,Questions!$B:$AA,25,FALSE))=0,"",VLOOKUP($A57,Questions!$B:$AA,25,FALSE))</f>
        <v xml:space="preserve"> </v>
      </c>
      <c r="I57" s="31" t="str">
        <f>IF(LEN(VLOOKUP($A57,Questions!$B:$AA,26,FALSE))=0,"",VLOOKUP($A57,Questions!$B:$AA,26,FALSE))</f>
        <v xml:space="preserve"> </v>
      </c>
      <c r="J57" s="31" t="str">
        <f>IF(LEN(VLOOKUP($A57,Questions!$B:$AB,27,FALSE))=0,"",VLOOKUP($A57,Questions!$B:$AB,27,FALSE))</f>
        <v xml:space="preserve"> </v>
      </c>
    </row>
    <row r="58" spans="1:11" ht="96" customHeight="1">
      <c r="A58" s="10" t="s">
        <v>158</v>
      </c>
      <c r="B58" s="23" t="str">
        <f>VLOOKUP(A58,'HECVAT - Full | Vendor Response'!A$27:B$284,2,FALSE)</f>
        <v>Can all functions of the application or service be performed using only the keyboard?</v>
      </c>
      <c r="C58" s="31" t="str">
        <f>IF(LEN(VLOOKUP($A58,Questions!$B:$AA,20,FALSE))=0,"",VLOOKUP($A58,Questions!$B:$AA,20,FALSE))</f>
        <v xml:space="preserve"> </v>
      </c>
      <c r="D58" s="30" t="str">
        <f>IF(LEN(VLOOKUP($A58,Questions!$B:$AA,21,FALSE))=0,"",VLOOKUP($A58,Questions!$B:$AA,21,FALSE))</f>
        <v xml:space="preserve"> </v>
      </c>
      <c r="E58" s="30" t="str">
        <f>IF(LEN(VLOOKUP($A58,Questions!$B:$AA,22,FALSE))=0,"",VLOOKUP($A58,Questions!$B:$AA,22,FALSE))</f>
        <v xml:space="preserve"> </v>
      </c>
      <c r="F58" s="30" t="str">
        <f>IF(LEN(VLOOKUP($A58,Questions!$B:$AA,23,FALSE))=0,"",VLOOKUP($A58,Questions!$B:$AA,23,FALSE))</f>
        <v xml:space="preserve"> </v>
      </c>
      <c r="G58" s="30" t="str">
        <f>IF(LEN(VLOOKUP($A58,Questions!$B:$AA,24,FALSE))=0,"",VLOOKUP($A58,Questions!$B:$AA,24,FALSE))</f>
        <v xml:space="preserve"> </v>
      </c>
      <c r="H58" s="30" t="str">
        <f>IF(LEN(VLOOKUP($A58,Questions!$B:$AA,25,FALSE))=0,"",VLOOKUP($A58,Questions!$B:$AA,25,FALSE))</f>
        <v xml:space="preserve"> </v>
      </c>
      <c r="I58" s="31" t="str">
        <f>IF(LEN(VLOOKUP($A58,Questions!$B:$AA,26,FALSE))=0,"",VLOOKUP($A58,Questions!$B:$AA,26,FALSE))</f>
        <v xml:space="preserve"> </v>
      </c>
      <c r="J58" s="31" t="str">
        <f>IF(LEN(VLOOKUP($A58,Questions!$B:$AB,27,FALSE))=0,"",VLOOKUP($A58,Questions!$B:$AB,27,FALSE))</f>
        <v xml:space="preserve"> </v>
      </c>
    </row>
    <row r="59" spans="1:11" ht="96" customHeight="1">
      <c r="A59" s="10" t="s">
        <v>160</v>
      </c>
      <c r="B59" s="23" t="str">
        <f>VLOOKUP(A59,'HECVAT - Full | Vendor Response'!A$27:B$284,2,FALSE)</f>
        <v>Does your product rely on activating a special "accessibility mode," a "lite version," or accessing an alternate interface for accessibility purposes?</v>
      </c>
      <c r="C59" s="31" t="str">
        <f>IF(LEN(VLOOKUP($A59,Questions!$B:$AA,20,FALSE))=0,"",VLOOKUP($A59,Questions!$B:$AA,20,FALSE))</f>
        <v xml:space="preserve"> </v>
      </c>
      <c r="D59" s="30" t="str">
        <f>IF(LEN(VLOOKUP($A59,Questions!$B:$AA,21,FALSE))=0,"",VLOOKUP($A59,Questions!$B:$AA,21,FALSE))</f>
        <v xml:space="preserve"> </v>
      </c>
      <c r="E59" s="30" t="str">
        <f>IF(LEN(VLOOKUP($A59,Questions!$B:$AA,22,FALSE))=0,"",VLOOKUP($A59,Questions!$B:$AA,22,FALSE))</f>
        <v xml:space="preserve"> </v>
      </c>
      <c r="F59" s="30" t="str">
        <f>IF(LEN(VLOOKUP($A59,Questions!$B:$AA,23,FALSE))=0,"",VLOOKUP($A59,Questions!$B:$AA,23,FALSE))</f>
        <v xml:space="preserve"> </v>
      </c>
      <c r="G59" s="30" t="str">
        <f>IF(LEN(VLOOKUP($A59,Questions!$B:$AA,24,FALSE))=0,"",VLOOKUP($A59,Questions!$B:$AA,24,FALSE))</f>
        <v xml:space="preserve"> </v>
      </c>
      <c r="H59" s="30" t="str">
        <f>IF(LEN(VLOOKUP($A59,Questions!$B:$AA,25,FALSE))=0,"",VLOOKUP($A59,Questions!$B:$AA,25,FALSE))</f>
        <v xml:space="preserve"> </v>
      </c>
      <c r="I59" s="31" t="str">
        <f>IF(LEN(VLOOKUP($A59,Questions!$B:$AA,26,FALSE))=0,"",VLOOKUP($A59,Questions!$B:$AA,26,FALSE))</f>
        <v xml:space="preserve"> </v>
      </c>
      <c r="J59" s="31" t="str">
        <f>IF(LEN(VLOOKUP($A59,Questions!$B:$AB,27,FALSE))=0,"",VLOOKUP($A59,Questions!$B:$AB,27,FALSE))</f>
        <v xml:space="preserve"> </v>
      </c>
      <c r="K59" s="238" t="s">
        <v>3325</v>
      </c>
    </row>
    <row r="60" spans="1:11" ht="36" customHeight="1">
      <c r="A60" s="283" t="str">
        <f>IF($C$27="No","Assessment of Third Parties - Optional based on QUALIFIER response.","Assessment of Third Parties")</f>
        <v>Assessment of Third Parties</v>
      </c>
      <c r="B60" s="283"/>
      <c r="C60" s="18" t="str">
        <f t="shared" ref="C60:J60" si="3">C$23</f>
        <v>CIS Critical Security Controls v6.1</v>
      </c>
      <c r="D60" s="18" t="str">
        <f t="shared" si="3"/>
        <v>HIPAA</v>
      </c>
      <c r="E60" s="18" t="str">
        <f t="shared" si="3"/>
        <v>ISO 27002:27013</v>
      </c>
      <c r="F60" s="18" t="str">
        <f t="shared" si="3"/>
        <v>NIST Cybersecurity Framework</v>
      </c>
      <c r="G60" s="18" t="str">
        <f t="shared" si="3"/>
        <v>NIST SP 800-171r2</v>
      </c>
      <c r="H60" s="18" t="str">
        <f t="shared" si="3"/>
        <v>NIST SP 800-53r4</v>
      </c>
      <c r="I60" s="18" t="str">
        <f t="shared" si="3"/>
        <v>PCI DSS</v>
      </c>
      <c r="J60" s="18" t="str">
        <f t="shared" si="3"/>
        <v>Trusted CI</v>
      </c>
    </row>
    <row r="61" spans="1:11" ht="96" customHeight="1">
      <c r="A61" s="10" t="s">
        <v>162</v>
      </c>
      <c r="B61" s="23" t="str">
        <f>VLOOKUP(A61,'HECVAT - Full | Vendor Response'!A$27:B$284,2,FALSE)</f>
        <v>Do you perform security assessments of third-party companies with which you share data? (e.g., hosting providers, cloud services, PaaS, IaaS, SaaS)</v>
      </c>
      <c r="C61" s="31" t="str">
        <f>IF(LEN(VLOOKUP($A61,Questions!$B:$AA,20,FALSE))=0,"",VLOOKUP($A61,Questions!$B:$AA,20,FALSE))</f>
        <v xml:space="preserve"> </v>
      </c>
      <c r="D61" s="30" t="str">
        <f>IF(LEN(VLOOKUP($A61,Questions!$B:$AA,21,FALSE))=0,"",VLOOKUP($A61,Questions!$B:$AA,21,FALSE))</f>
        <v xml:space="preserve"> </v>
      </c>
      <c r="E61" s="30" t="str">
        <f>IF(LEN(VLOOKUP($A61,Questions!$B:$AA,22,FALSE))=0,"",VLOOKUP($A61,Questions!$B:$AA,22,FALSE))</f>
        <v xml:space="preserve"> </v>
      </c>
      <c r="F61" s="30" t="str">
        <f>IF(LEN(VLOOKUP($A61,Questions!$B:$AA,23,FALSE))=0,"",VLOOKUP($A61,Questions!$B:$AA,23,FALSE))</f>
        <v xml:space="preserve"> </v>
      </c>
      <c r="G61" s="30" t="str">
        <f>IF(LEN(VLOOKUP($A61,Questions!$B:$AA,24,FALSE))=0,"",VLOOKUP($A61,Questions!$B:$AA,24,FALSE))</f>
        <v xml:space="preserve"> </v>
      </c>
      <c r="H61" s="30" t="str">
        <f>IF(LEN(VLOOKUP($A61,Questions!$B:$AA,25,FALSE))=0,"",VLOOKUP($A61,Questions!$B:$AA,25,FALSE))</f>
        <v xml:space="preserve"> </v>
      </c>
      <c r="I61" s="31" t="str">
        <f>IF(LEN(VLOOKUP($A61,Questions!$B:$AA,26,FALSE))=0,"",VLOOKUP($A61,Questions!$B:$AA,26,FALSE))</f>
        <v xml:space="preserve"> </v>
      </c>
      <c r="J61" s="31" t="str">
        <f>IF(LEN(VLOOKUP($A61,Questions!$B:$AB,27,FALSE))=0,"",VLOOKUP($A61,Questions!$B:$AB,27,FALSE))</f>
        <v xml:space="preserve"> </v>
      </c>
    </row>
    <row r="62" spans="1:11" ht="80.25" customHeight="1">
      <c r="A62" s="10" t="s">
        <v>164</v>
      </c>
      <c r="B62" s="23" t="str">
        <f>VLOOKUP(A62,'HECVAT - Full | Vendor Response'!A$27:B$284,2,FALSE)</f>
        <v>Provide a brief description for why each of these third parties will have access to institutional data.</v>
      </c>
      <c r="C62" s="31" t="str">
        <f>IF(LEN(VLOOKUP($A62,Questions!$B:$AA,20,FALSE))=0,"",VLOOKUP($A62,Questions!$B:$AA,20,FALSE))</f>
        <v xml:space="preserve"> </v>
      </c>
      <c r="D62" s="30" t="str">
        <f>IF(LEN(VLOOKUP($A62,Questions!$B:$AA,21,FALSE))=0,"",VLOOKUP($A62,Questions!$B:$AA,21,FALSE))</f>
        <v xml:space="preserve"> </v>
      </c>
      <c r="E62" s="30" t="str">
        <f>IF(LEN(VLOOKUP($A62,Questions!$B:$AA,22,FALSE))=0,"",VLOOKUP($A62,Questions!$B:$AA,22,FALSE))</f>
        <v xml:space="preserve"> </v>
      </c>
      <c r="F62" s="30" t="str">
        <f>IF(LEN(VLOOKUP($A62,Questions!$B:$AA,23,FALSE))=0,"",VLOOKUP($A62,Questions!$B:$AA,23,FALSE))</f>
        <v xml:space="preserve"> </v>
      </c>
      <c r="G62" s="30" t="str">
        <f>IF(LEN(VLOOKUP($A62,Questions!$B:$AA,24,FALSE))=0,"",VLOOKUP($A62,Questions!$B:$AA,24,FALSE))</f>
        <v xml:space="preserve"> </v>
      </c>
      <c r="H62" s="30" t="str">
        <f>IF(LEN(VLOOKUP($A62,Questions!$B:$AA,25,FALSE))=0,"",VLOOKUP($A62,Questions!$B:$AA,25,FALSE))</f>
        <v xml:space="preserve"> </v>
      </c>
      <c r="I62" s="31" t="str">
        <f>IF(LEN(VLOOKUP($A62,Questions!$B:$AA,26,FALSE))=0,"",VLOOKUP($A62,Questions!$B:$AA,26,FALSE))</f>
        <v xml:space="preserve"> </v>
      </c>
      <c r="J62" s="31" t="str">
        <f>IF(LEN(VLOOKUP($A62,Questions!$B:$AB,27,FALSE))=0,"",VLOOKUP($A62,Questions!$B:$AB,27,FALSE))</f>
        <v xml:space="preserve"> </v>
      </c>
    </row>
    <row r="63" spans="1:11" ht="80.25" customHeight="1">
      <c r="A63" s="10" t="s">
        <v>166</v>
      </c>
      <c r="B63" s="23" t="str">
        <f>VLOOKUP(A63,'HECVAT - Full | Vendor Response'!A$27:B$284,2,FALSE)</f>
        <v>What legal agreements (i.e., contracts) do you have in place with these third parties that address liability in the event of a data breach?</v>
      </c>
      <c r="C63" s="31" t="str">
        <f>IF(LEN(VLOOKUP($A63,Questions!$B:$AA,20,FALSE))=0,"",VLOOKUP($A63,Questions!$B:$AA,20,FALSE))</f>
        <v xml:space="preserve"> </v>
      </c>
      <c r="D63" s="30" t="str">
        <f>IF(LEN(VLOOKUP($A63,Questions!$B:$AA,21,FALSE))=0,"",VLOOKUP($A63,Questions!$B:$AA,21,FALSE))</f>
        <v xml:space="preserve"> </v>
      </c>
      <c r="E63" s="30" t="str">
        <f>IF(LEN(VLOOKUP($A63,Questions!$B:$AA,22,FALSE))=0,"",VLOOKUP($A63,Questions!$B:$AA,22,FALSE))</f>
        <v xml:space="preserve"> </v>
      </c>
      <c r="F63" s="30" t="str">
        <f>IF(LEN(VLOOKUP($A63,Questions!$B:$AA,23,FALSE))=0,"",VLOOKUP($A63,Questions!$B:$AA,23,FALSE))</f>
        <v xml:space="preserve"> </v>
      </c>
      <c r="G63" s="30" t="str">
        <f>IF(LEN(VLOOKUP($A63,Questions!$B:$AA,24,FALSE))=0,"",VLOOKUP($A63,Questions!$B:$AA,24,FALSE))</f>
        <v xml:space="preserve"> </v>
      </c>
      <c r="H63" s="30" t="str">
        <f>IF(LEN(VLOOKUP($A63,Questions!$B:$AA,25,FALSE))=0,"",VLOOKUP($A63,Questions!$B:$AA,25,FALSE))</f>
        <v xml:space="preserve"> </v>
      </c>
      <c r="I63" s="31" t="str">
        <f>IF(LEN(VLOOKUP($A63,Questions!$B:$AA,26,FALSE))=0,"",VLOOKUP($A63,Questions!$B:$AA,26,FALSE))</f>
        <v xml:space="preserve"> </v>
      </c>
      <c r="J63" s="31" t="str">
        <f>IF(LEN(VLOOKUP($A63,Questions!$B:$AB,27,FALSE))=0,"",VLOOKUP($A63,Questions!$B:$AB,27,FALSE))</f>
        <v xml:space="preserve"> </v>
      </c>
    </row>
    <row r="64" spans="1:11" ht="80.25" customHeight="1">
      <c r="A64" s="10" t="s">
        <v>168</v>
      </c>
      <c r="B64" s="23" t="str">
        <f>VLOOKUP(A64,'HECVAT - Full | Vendor Response'!A$27:B$284,2,FALSE)</f>
        <v>Do you have an implemented third-party management strategy?</v>
      </c>
      <c r="C64" s="31" t="str">
        <f>IF(LEN(VLOOKUP($A64,Questions!$B:$AA,20,FALSE))=0,"",VLOOKUP($A64,Questions!$B:$AA,20,FALSE))</f>
        <v xml:space="preserve"> </v>
      </c>
      <c r="D64" s="30" t="str">
        <f>IF(LEN(VLOOKUP($A64,Questions!$B:$AA,21,FALSE))=0,"",VLOOKUP($A64,Questions!$B:$AA,21,FALSE))</f>
        <v xml:space="preserve"> </v>
      </c>
      <c r="E64" s="30" t="str">
        <f>IF(LEN(VLOOKUP($A64,Questions!$B:$AA,22,FALSE))=0,"",VLOOKUP($A64,Questions!$B:$AA,22,FALSE))</f>
        <v xml:space="preserve"> </v>
      </c>
      <c r="F64" s="30" t="str">
        <f>IF(LEN(VLOOKUP($A64,Questions!$B:$AA,23,FALSE))=0,"",VLOOKUP($A64,Questions!$B:$AA,23,FALSE))</f>
        <v xml:space="preserve"> </v>
      </c>
      <c r="G64" s="30" t="str">
        <f>IF(LEN(VLOOKUP($A64,Questions!$B:$AA,24,FALSE))=0,"",VLOOKUP($A64,Questions!$B:$AA,24,FALSE))</f>
        <v xml:space="preserve"> </v>
      </c>
      <c r="H64" s="30" t="str">
        <f>IF(LEN(VLOOKUP($A64,Questions!$B:$AA,25,FALSE))=0,"",VLOOKUP($A64,Questions!$B:$AA,25,FALSE))</f>
        <v xml:space="preserve"> </v>
      </c>
      <c r="I64" s="31" t="str">
        <f>IF(LEN(VLOOKUP($A64,Questions!$B:$AA,26,FALSE))=0,"",VLOOKUP($A64,Questions!$B:$AA,26,FALSE))</f>
        <v xml:space="preserve"> </v>
      </c>
      <c r="J64" s="31" t="str">
        <f>IF(LEN(VLOOKUP($A64,Questions!$B:$AB,27,FALSE))=0,"",VLOOKUP($A64,Questions!$B:$AB,27,FALSE))</f>
        <v xml:space="preserve"> </v>
      </c>
      <c r="K64" s="238" t="s">
        <v>3325</v>
      </c>
    </row>
    <row r="65" spans="1:11" ht="36" customHeight="1">
      <c r="A65" s="283" t="str">
        <f>IF($C$31="","Consulting",IF($C$31="Yes","Consulting - All questions after this section are OPTIONAL.","Consulting - Optional based on QUALIFIER response."))</f>
        <v>Consulting - Optional based on QUALIFIER response.</v>
      </c>
      <c r="B65" s="283"/>
      <c r="C65" s="18" t="str">
        <f>C$23</f>
        <v>CIS Critical Security Controls v6.1</v>
      </c>
      <c r="D65" s="18" t="str">
        <f t="shared" ref="D65:J65" si="4">D$23</f>
        <v>HIPAA</v>
      </c>
      <c r="E65" s="18" t="str">
        <f t="shared" si="4"/>
        <v>ISO 27002:27013</v>
      </c>
      <c r="F65" s="18" t="str">
        <f t="shared" si="4"/>
        <v>NIST Cybersecurity Framework</v>
      </c>
      <c r="G65" s="18" t="str">
        <f t="shared" si="4"/>
        <v>NIST SP 800-171r2</v>
      </c>
      <c r="H65" s="18" t="str">
        <f t="shared" si="4"/>
        <v>NIST SP 800-53r4</v>
      </c>
      <c r="I65" s="18" t="str">
        <f t="shared" si="4"/>
        <v>PCI DSS</v>
      </c>
      <c r="J65" s="18" t="str">
        <f t="shared" si="4"/>
        <v>Trusted CI</v>
      </c>
    </row>
    <row r="66" spans="1:11" ht="36" customHeight="1">
      <c r="A66" s="10" t="s">
        <v>172</v>
      </c>
      <c r="B66" s="23" t="str">
        <f>VLOOKUP(A66,'HECVAT - Full | Vendor Response'!A$27:B$284,2,FALSE)</f>
        <v>Will the consulting take place on-premises?</v>
      </c>
      <c r="C66" s="31" t="str">
        <f>IF(LEN(VLOOKUP($A66,Questions!$B:$AA,20,FALSE))=0,"",VLOOKUP($A66,Questions!$B:$AA,20,FALSE))</f>
        <v xml:space="preserve"> </v>
      </c>
      <c r="D66" s="31" t="str">
        <f>IF(LEN(VLOOKUP($A66,Questions!$B:$AA,21,FALSE))=0,"",VLOOKUP($A66,Questions!$B:$AA,21,FALSE))</f>
        <v xml:space="preserve"> </v>
      </c>
      <c r="E66" s="30" t="str">
        <f>IF(LEN(VLOOKUP($A66,Questions!$B:$AA,22,FALSE))=0,"",VLOOKUP($A66,Questions!$B:$AA,22,FALSE))</f>
        <v xml:space="preserve"> </v>
      </c>
      <c r="F66" s="30" t="str">
        <f>IF(LEN(VLOOKUP($A66,Questions!$B:$AA,23,FALSE))=0,"",VLOOKUP($A66,Questions!$B:$AA,23,FALSE))</f>
        <v xml:space="preserve"> </v>
      </c>
      <c r="G66" s="31" t="str">
        <f>IF(LEN(VLOOKUP($A66,Questions!$B:$AA,24,FALSE))=0,"",VLOOKUP($A66,Questions!$B:$AA,24,FALSE))</f>
        <v xml:space="preserve"> </v>
      </c>
      <c r="H66" s="31" t="str">
        <f>IF(LEN(VLOOKUP($A66,Questions!$B:$AA,25,FALSE))=0,"",VLOOKUP($A66,Questions!$B:$AA,25,FALSE))</f>
        <v xml:space="preserve"> </v>
      </c>
      <c r="I66" s="31" t="str">
        <f>IF(LEN(VLOOKUP($A66,Questions!$B:$AA,26,FALSE))=0,"",VLOOKUP($A66,Questions!$B:$AA,26,FALSE))</f>
        <v xml:space="preserve"> </v>
      </c>
      <c r="J66" s="31" t="str">
        <f>IF(LEN(VLOOKUP($A66,Questions!$B:$AB,27,FALSE))=0,"",VLOOKUP($A66,Questions!$B:$AB,27,FALSE))</f>
        <v xml:space="preserve"> </v>
      </c>
    </row>
    <row r="67" spans="1:11" ht="63" customHeight="1">
      <c r="A67" s="10" t="s">
        <v>174</v>
      </c>
      <c r="B67" s="23" t="str">
        <f>VLOOKUP(A67,'HECVAT - Full | Vendor Response'!A$27:B$284,2,FALSE)</f>
        <v>Will the consultant require access to the institution's network resources?</v>
      </c>
      <c r="C67" s="30" t="str">
        <f>IF(LEN(VLOOKUP($A67,Questions!$B:$AA,20,FALSE))=0,"",VLOOKUP($A67,Questions!$B:$AA,20,FALSE))</f>
        <v xml:space="preserve"> </v>
      </c>
      <c r="D67" s="31" t="str">
        <f>IF(LEN(VLOOKUP($A67,Questions!$B:$AA,21,FALSE))=0,"",VLOOKUP($A67,Questions!$B:$AA,21,FALSE))</f>
        <v xml:space="preserve"> </v>
      </c>
      <c r="E67" s="30" t="str">
        <f>IF(LEN(VLOOKUP($A67,Questions!$B:$AA,22,FALSE))=0,"",VLOOKUP($A67,Questions!$B:$AA,22,FALSE))</f>
        <v xml:space="preserve"> </v>
      </c>
      <c r="F67" s="30" t="str">
        <f>IF(LEN(VLOOKUP($A67,Questions!$B:$AA,23,FALSE))=0,"",VLOOKUP($A67,Questions!$B:$AA,23,FALSE))</f>
        <v xml:space="preserve"> </v>
      </c>
      <c r="G67" s="30" t="str">
        <f>IF(LEN(VLOOKUP($A67,Questions!$B:$AA,24,FALSE))=0,"",VLOOKUP($A67,Questions!$B:$AA,24,FALSE))</f>
        <v xml:space="preserve"> </v>
      </c>
      <c r="H67" s="30" t="str">
        <f>IF(LEN(VLOOKUP($A67,Questions!$B:$AA,25,FALSE))=0,"",VLOOKUP($A67,Questions!$B:$AA,25,FALSE))</f>
        <v xml:space="preserve"> </v>
      </c>
      <c r="I67" s="31" t="str">
        <f>IF(LEN(VLOOKUP($A67,Questions!$B:$AA,26,FALSE))=0,"",VLOOKUP($A67,Questions!$B:$AA,26,FALSE))</f>
        <v xml:space="preserve"> </v>
      </c>
      <c r="J67" s="31" t="str">
        <f>IF(LEN(VLOOKUP($A67,Questions!$B:$AB,27,FALSE))=0,"",VLOOKUP($A67,Questions!$B:$AB,27,FALSE))</f>
        <v xml:space="preserve"> </v>
      </c>
    </row>
    <row r="68" spans="1:11" ht="63" customHeight="1">
      <c r="A68" s="10" t="s">
        <v>175</v>
      </c>
      <c r="B68" s="23" t="str">
        <f>VLOOKUP(A68,'HECVAT - Full | Vendor Response'!A$27:B$284,2,FALSE)</f>
        <v>Will the consultant require access to hardware in the institution's data centers?</v>
      </c>
      <c r="C68" s="30" t="str">
        <f>IF(LEN(VLOOKUP($A68,Questions!$B:$AA,20,FALSE))=0,"",VLOOKUP($A68,Questions!$B:$AA,20,FALSE))</f>
        <v xml:space="preserve"> </v>
      </c>
      <c r="D68" s="31" t="str">
        <f>IF(LEN(VLOOKUP($A68,Questions!$B:$AA,21,FALSE))=0,"",VLOOKUP($A68,Questions!$B:$AA,21,FALSE))</f>
        <v xml:space="preserve"> </v>
      </c>
      <c r="E68" s="30" t="str">
        <f>IF(LEN(VLOOKUP($A68,Questions!$B:$AA,22,FALSE))=0,"",VLOOKUP($A68,Questions!$B:$AA,22,FALSE))</f>
        <v xml:space="preserve"> </v>
      </c>
      <c r="F68" s="30" t="str">
        <f>IF(LEN(VLOOKUP($A68,Questions!$B:$AA,23,FALSE))=0,"",VLOOKUP($A68,Questions!$B:$AA,23,FALSE))</f>
        <v xml:space="preserve"> </v>
      </c>
      <c r="G68" s="30" t="str">
        <f>IF(LEN(VLOOKUP($A68,Questions!$B:$AA,24,FALSE))=0,"",VLOOKUP($A68,Questions!$B:$AA,24,FALSE))</f>
        <v xml:space="preserve"> </v>
      </c>
      <c r="H68" s="31" t="str">
        <f>IF(LEN(VLOOKUP($A68,Questions!$B:$AA,25,FALSE))=0,"",VLOOKUP($A68,Questions!$B:$AA,25,FALSE))</f>
        <v xml:space="preserve"> </v>
      </c>
      <c r="I68" s="31" t="str">
        <f>IF(LEN(VLOOKUP($A68,Questions!$B:$AA,26,FALSE))=0,"",VLOOKUP($A68,Questions!$B:$AA,26,FALSE))</f>
        <v xml:space="preserve"> </v>
      </c>
      <c r="J68" s="31" t="str">
        <f>IF(LEN(VLOOKUP($A68,Questions!$B:$AB,27,FALSE))=0,"",VLOOKUP($A68,Questions!$B:$AB,27,FALSE))</f>
        <v xml:space="preserve"> </v>
      </c>
    </row>
    <row r="69" spans="1:11" ht="48" customHeight="1">
      <c r="A69" s="10" t="s">
        <v>176</v>
      </c>
      <c r="B69" s="23" t="str">
        <f>VLOOKUP(A69,'HECVAT - Full | Vendor Response'!A$27:B$284,2,FALSE)</f>
        <v>Will the consultant require an account within the institution's domain (@*.edu)?</v>
      </c>
      <c r="C69" s="30" t="str">
        <f>IF(LEN(VLOOKUP($A69,Questions!$B:$AA,20,FALSE))=0,"",VLOOKUP($A69,Questions!$B:$AA,20,FALSE))</f>
        <v xml:space="preserve"> </v>
      </c>
      <c r="D69" s="31" t="str">
        <f>IF(LEN(VLOOKUP($A69,Questions!$B:$AA,21,FALSE))=0,"",VLOOKUP($A69,Questions!$B:$AA,21,FALSE))</f>
        <v xml:space="preserve"> </v>
      </c>
      <c r="E69" s="31" t="str">
        <f>IF(LEN(VLOOKUP($A69,Questions!$B:$AA,22,FALSE))=0,"",VLOOKUP($A69,Questions!$B:$AA,22,FALSE))</f>
        <v xml:space="preserve"> </v>
      </c>
      <c r="F69" s="30" t="str">
        <f>IF(LEN(VLOOKUP($A69,Questions!$B:$AA,23,FALSE))=0,"",VLOOKUP($A69,Questions!$B:$AA,23,FALSE))</f>
        <v xml:space="preserve"> </v>
      </c>
      <c r="G69" s="31" t="str">
        <f>IF(LEN(VLOOKUP($A69,Questions!$B:$AA,24,FALSE))=0,"",VLOOKUP($A69,Questions!$B:$AA,24,FALSE))</f>
        <v xml:space="preserve"> </v>
      </c>
      <c r="H69" s="31" t="str">
        <f>IF(LEN(VLOOKUP($A69,Questions!$B:$AA,25,FALSE))=0,"",VLOOKUP($A69,Questions!$B:$AA,25,FALSE))</f>
        <v xml:space="preserve"> </v>
      </c>
      <c r="I69" s="31" t="str">
        <f>IF(LEN(VLOOKUP($A69,Questions!$B:$AA,26,FALSE))=0,"",VLOOKUP($A69,Questions!$B:$AA,26,FALSE))</f>
        <v xml:space="preserve"> </v>
      </c>
      <c r="J69" s="31" t="str">
        <f>IF(LEN(VLOOKUP($A69,Questions!$B:$AB,27,FALSE))=0,"",VLOOKUP($A69,Questions!$B:$AB,27,FALSE))</f>
        <v xml:space="preserve"> </v>
      </c>
    </row>
    <row r="70" spans="1:11" ht="48" customHeight="1">
      <c r="A70" s="10" t="s">
        <v>177</v>
      </c>
      <c r="B70" s="23" t="str">
        <f>VLOOKUP(A70,'HECVAT - Full | Vendor Response'!A$27:B$284,2,FALSE)</f>
        <v>Has the consultant received training on (sensitive, HIPAA, PCI, etc.) data handling?</v>
      </c>
      <c r="C70" s="30" t="str">
        <f>IF(LEN(VLOOKUP($A70,Questions!$B:$AA,20,FALSE))=0,"",VLOOKUP($A70,Questions!$B:$AA,20,FALSE))</f>
        <v xml:space="preserve"> </v>
      </c>
      <c r="D70" s="31" t="str">
        <f>IF(LEN(VLOOKUP($A70,Questions!$B:$AA,21,FALSE))=0,"",VLOOKUP($A70,Questions!$B:$AA,21,FALSE))</f>
        <v xml:space="preserve"> </v>
      </c>
      <c r="E70" s="30" t="str">
        <f>IF(LEN(VLOOKUP($A70,Questions!$B:$AA,22,FALSE))=0,"",VLOOKUP($A70,Questions!$B:$AA,22,FALSE))</f>
        <v xml:space="preserve"> </v>
      </c>
      <c r="F70" s="30" t="str">
        <f>IF(LEN(VLOOKUP($A70,Questions!$B:$AA,23,FALSE))=0,"",VLOOKUP($A70,Questions!$B:$AA,23,FALSE))</f>
        <v xml:space="preserve"> </v>
      </c>
      <c r="G70" s="31" t="str">
        <f>IF(LEN(VLOOKUP($A70,Questions!$B:$AA,24,FALSE))=0,"",VLOOKUP($A70,Questions!$B:$AA,24,FALSE))</f>
        <v xml:space="preserve"> </v>
      </c>
      <c r="H70" s="31" t="str">
        <f>IF(LEN(VLOOKUP($A70,Questions!$B:$AA,25,FALSE))=0,"",VLOOKUP($A70,Questions!$B:$AA,25,FALSE))</f>
        <v xml:space="preserve"> </v>
      </c>
      <c r="I70" s="31" t="str">
        <f>IF(LEN(VLOOKUP($A70,Questions!$B:$AA,26,FALSE))=0,"",VLOOKUP($A70,Questions!$B:$AA,26,FALSE))</f>
        <v xml:space="preserve"> </v>
      </c>
      <c r="J70" s="31" t="str">
        <f>IF(LEN(VLOOKUP($A70,Questions!$B:$AB,27,FALSE))=0,"",VLOOKUP($A70,Questions!$B:$AB,27,FALSE))</f>
        <v xml:space="preserve"> </v>
      </c>
    </row>
    <row r="71" spans="1:11" ht="48" customHeight="1">
      <c r="A71" s="10" t="s">
        <v>178</v>
      </c>
      <c r="B71" s="23" t="str">
        <f>VLOOKUP(A71,'HECVAT - Full | Vendor Response'!A$27:B$284,2,FALSE)</f>
        <v>Will any data be transferred to the consultant's possession?</v>
      </c>
      <c r="C71" s="30" t="str">
        <f>IF(LEN(VLOOKUP($A71,Questions!$B:$AA,20,FALSE))=0,"",VLOOKUP($A71,Questions!$B:$AA,20,FALSE))</f>
        <v xml:space="preserve"> </v>
      </c>
      <c r="D71" s="31" t="str">
        <f>IF(LEN(VLOOKUP($A71,Questions!$B:$AA,21,FALSE))=0,"",VLOOKUP($A71,Questions!$B:$AA,21,FALSE))</f>
        <v xml:space="preserve"> </v>
      </c>
      <c r="E71" s="30" t="str">
        <f>IF(LEN(VLOOKUP($A71,Questions!$B:$AA,22,FALSE))=0,"",VLOOKUP($A71,Questions!$B:$AA,22,FALSE))</f>
        <v xml:space="preserve"> </v>
      </c>
      <c r="F71" s="30" t="str">
        <f>IF(LEN(VLOOKUP($A71,Questions!$B:$AA,23,FALSE))=0,"",VLOOKUP($A71,Questions!$B:$AA,23,FALSE))</f>
        <v xml:space="preserve"> </v>
      </c>
      <c r="G71" s="30" t="str">
        <f>IF(LEN(VLOOKUP($A71,Questions!$B:$AA,24,FALSE))=0,"",VLOOKUP($A71,Questions!$B:$AA,24,FALSE))</f>
        <v xml:space="preserve"> </v>
      </c>
      <c r="H71" s="30" t="str">
        <f>IF(LEN(VLOOKUP($A71,Questions!$B:$AA,25,FALSE))=0,"",VLOOKUP($A71,Questions!$B:$AA,25,FALSE))</f>
        <v xml:space="preserve"> </v>
      </c>
      <c r="I71" s="31" t="str">
        <f>IF(LEN(VLOOKUP($A71,Questions!$B:$AA,26,FALSE))=0,"",VLOOKUP($A71,Questions!$B:$AA,26,FALSE))</f>
        <v xml:space="preserve"> </v>
      </c>
      <c r="J71" s="31" t="str">
        <f>IF(LEN(VLOOKUP($A71,Questions!$B:$AB,27,FALSE))=0,"",VLOOKUP($A71,Questions!$B:$AB,27,FALSE))</f>
        <v xml:space="preserve"> </v>
      </c>
    </row>
    <row r="72" spans="1:11" s="1" customFormat="1" ht="48" customHeight="1">
      <c r="A72" s="10" t="s">
        <v>179</v>
      </c>
      <c r="B72" s="23" t="str">
        <f>VLOOKUP(A72,'HECVAT - Full | Vendor Response'!A$27:B$284,2,FALSE)</f>
        <v>Is it encrypted (at rest) while in the consultant's possession?</v>
      </c>
      <c r="C72" s="30" t="str">
        <f>IF(LEN(VLOOKUP($A72,Questions!$B:$AA,20,FALSE))=0,"",VLOOKUP($A72,Questions!$B:$AA,20,FALSE))</f>
        <v xml:space="preserve"> </v>
      </c>
      <c r="D72" s="31" t="str">
        <f>IF(LEN(VLOOKUP($A72,Questions!$B:$AA,21,FALSE))=0,"",VLOOKUP($A72,Questions!$B:$AA,21,FALSE))</f>
        <v xml:space="preserve"> </v>
      </c>
      <c r="E72" s="30" t="str">
        <f>IF(LEN(VLOOKUP($A72,Questions!$B:$AA,22,FALSE))=0,"",VLOOKUP($A72,Questions!$B:$AA,22,FALSE))</f>
        <v xml:space="preserve"> </v>
      </c>
      <c r="F72" s="30" t="str">
        <f>IF(LEN(VLOOKUP($A72,Questions!$B:$AA,23,FALSE))=0,"",VLOOKUP($A72,Questions!$B:$AA,23,FALSE))</f>
        <v xml:space="preserve"> </v>
      </c>
      <c r="G72" s="30" t="str">
        <f>IF(LEN(VLOOKUP($A72,Questions!$B:$AA,24,FALSE))=0,"",VLOOKUP($A72,Questions!$B:$AA,24,FALSE))</f>
        <v xml:space="preserve"> </v>
      </c>
      <c r="H72" s="30" t="str">
        <f>IF(LEN(VLOOKUP($A72,Questions!$B:$AA,25,FALSE))=0,"",VLOOKUP($A72,Questions!$B:$AA,25,FALSE))</f>
        <v xml:space="preserve"> </v>
      </c>
      <c r="I72" s="31" t="str">
        <f>IF(LEN(VLOOKUP($A72,Questions!$B:$AA,26,FALSE))=0,"",VLOOKUP($A72,Questions!$B:$AA,26,FALSE))</f>
        <v xml:space="preserve"> </v>
      </c>
      <c r="J72" s="31" t="str">
        <f>IF(LEN(VLOOKUP($A72,Questions!$B:$AB,27,FALSE))=0,"",VLOOKUP($A72,Questions!$B:$AB,27,FALSE))</f>
        <v xml:space="preserve"> </v>
      </c>
      <c r="K72" s="4"/>
    </row>
    <row r="73" spans="1:11" ht="36" customHeight="1">
      <c r="A73" s="10" t="s">
        <v>180</v>
      </c>
      <c r="B73" s="23" t="str">
        <f>VLOOKUP(A73,'HECVAT - Full | Vendor Response'!A$27:B$284,2,FALSE)</f>
        <v>Will the consultant need remote access to the institution's network or systems?</v>
      </c>
      <c r="C73" s="30" t="str">
        <f>IF(LEN(VLOOKUP($A73,Questions!$B:$AA,20,FALSE))=0,"",VLOOKUP($A73,Questions!$B:$AA,20,FALSE))</f>
        <v xml:space="preserve"> </v>
      </c>
      <c r="D73" s="31" t="str">
        <f>IF(LEN(VLOOKUP($A73,Questions!$B:$AA,21,FALSE))=0,"",VLOOKUP($A73,Questions!$B:$AA,21,FALSE))</f>
        <v xml:space="preserve"> </v>
      </c>
      <c r="E73" s="30" t="str">
        <f>IF(LEN(VLOOKUP($A73,Questions!$B:$AA,22,FALSE))=0,"",VLOOKUP($A73,Questions!$B:$AA,22,FALSE))</f>
        <v xml:space="preserve"> </v>
      </c>
      <c r="F73" s="30" t="str">
        <f>IF(LEN(VLOOKUP($A73,Questions!$B:$AA,23,FALSE))=0,"",VLOOKUP($A73,Questions!$B:$AA,23,FALSE))</f>
        <v xml:space="preserve"> </v>
      </c>
      <c r="G73" s="31" t="str">
        <f>IF(LEN(VLOOKUP($A73,Questions!$B:$AA,24,FALSE))=0,"",VLOOKUP($A73,Questions!$B:$AA,24,FALSE))</f>
        <v xml:space="preserve"> </v>
      </c>
      <c r="H73" s="31" t="str">
        <f>IF(LEN(VLOOKUP($A73,Questions!$B:$AA,25,FALSE))=0,"",VLOOKUP($A73,Questions!$B:$AA,25,FALSE))</f>
        <v xml:space="preserve"> </v>
      </c>
      <c r="I73" s="31" t="str">
        <f>IF(LEN(VLOOKUP($A73,Questions!$B:$AA,26,FALSE))=0,"",VLOOKUP($A73,Questions!$B:$AA,26,FALSE))</f>
        <v xml:space="preserve"> </v>
      </c>
      <c r="J73" s="31" t="str">
        <f>IF(LEN(VLOOKUP($A73,Questions!$B:$AB,27,FALSE))=0,"",VLOOKUP($A73,Questions!$B:$AB,27,FALSE))</f>
        <v xml:space="preserve"> </v>
      </c>
    </row>
    <row r="74" spans="1:11" s="1" customFormat="1" ht="36" customHeight="1">
      <c r="A74" s="10" t="s">
        <v>181</v>
      </c>
      <c r="B74" s="23" t="str">
        <f>VLOOKUP(A74,'HECVAT - Full | Vendor Response'!A$27:B$284,2,FALSE)</f>
        <v>Can we restrict that access based on source IP address?</v>
      </c>
      <c r="C74" s="31" t="str">
        <f>IF(LEN(VLOOKUP($A74,Questions!$B:$AA,20,FALSE))=0,"",VLOOKUP($A74,Questions!$B:$AA,20,FALSE))</f>
        <v xml:space="preserve"> </v>
      </c>
      <c r="D74" s="31" t="str">
        <f>IF(LEN(VLOOKUP($A74,Questions!$B:$AA,21,FALSE))=0,"",VLOOKUP($A74,Questions!$B:$AA,21,FALSE))</f>
        <v xml:space="preserve"> </v>
      </c>
      <c r="E74" s="30" t="str">
        <f>IF(LEN(VLOOKUP($A74,Questions!$B:$AA,22,FALSE))=0,"",VLOOKUP($A74,Questions!$B:$AA,22,FALSE))</f>
        <v xml:space="preserve"> </v>
      </c>
      <c r="F74" s="30" t="str">
        <f>IF(LEN(VLOOKUP($A74,Questions!$B:$AA,23,FALSE))=0,"",VLOOKUP($A74,Questions!$B:$AA,23,FALSE))</f>
        <v xml:space="preserve"> </v>
      </c>
      <c r="G74" s="31" t="str">
        <f>IF(LEN(VLOOKUP($A74,Questions!$B:$AA,24,FALSE))=0,"",VLOOKUP($A74,Questions!$B:$AA,24,FALSE))</f>
        <v xml:space="preserve"> </v>
      </c>
      <c r="H74" s="31" t="str">
        <f>IF(LEN(VLOOKUP($A74,Questions!$B:$AA,25,FALSE))=0,"",VLOOKUP($A74,Questions!$B:$AA,25,FALSE))</f>
        <v xml:space="preserve"> </v>
      </c>
      <c r="I74" s="31" t="str">
        <f>IF(LEN(VLOOKUP($A74,Questions!$B:$AA,26,FALSE))=0,"",VLOOKUP($A74,Questions!$B:$AA,26,FALSE))</f>
        <v xml:space="preserve"> </v>
      </c>
      <c r="J74" s="31" t="str">
        <f>IF(LEN(VLOOKUP($A74,Questions!$B:$AB,27,FALSE))=0,"",VLOOKUP($A74,Questions!$B:$AB,27,FALSE))</f>
        <v xml:space="preserve"> </v>
      </c>
      <c r="K74" s="238" t="s">
        <v>3325</v>
      </c>
    </row>
    <row r="75" spans="1:11" ht="36" customHeight="1">
      <c r="A75" s="283" t="str">
        <f>IF($C$31="","Application/Service Security",IF($C$31="Yes","App/Service Security - Optional based on QUALIFIER response.","Application/Service Security"))</f>
        <v>Application/Service Security</v>
      </c>
      <c r="B75" s="283"/>
      <c r="C75" s="18" t="str">
        <f>C$23</f>
        <v>CIS Critical Security Controls v6.1</v>
      </c>
      <c r="D75" s="18" t="str">
        <f t="shared" ref="D75:J75" si="5">D$23</f>
        <v>HIPAA</v>
      </c>
      <c r="E75" s="18" t="str">
        <f t="shared" si="5"/>
        <v>ISO 27002:27013</v>
      </c>
      <c r="F75" s="18" t="str">
        <f t="shared" si="5"/>
        <v>NIST Cybersecurity Framework</v>
      </c>
      <c r="G75" s="18" t="str">
        <f t="shared" si="5"/>
        <v>NIST SP 800-171r2</v>
      </c>
      <c r="H75" s="18" t="str">
        <f t="shared" si="5"/>
        <v>NIST SP 800-53r4</v>
      </c>
      <c r="I75" s="18" t="str">
        <f t="shared" si="5"/>
        <v>PCI DSS</v>
      </c>
      <c r="J75" s="18" t="str">
        <f t="shared" si="5"/>
        <v>Trusted CI</v>
      </c>
    </row>
    <row r="76" spans="1:11" ht="49.5" customHeight="1">
      <c r="A76" s="10" t="s">
        <v>183</v>
      </c>
      <c r="B76" s="23" t="str">
        <f>VLOOKUP(A76,'HECVAT - Full | Vendor Response'!A$27:B$284,2,FALSE)</f>
        <v>Are access controls for institutional accounts based on structured rules, such as role-based access control (RBAC), attribute-based access control (ABAC), or policy-based access control (PBAC)?</v>
      </c>
      <c r="C76" s="30">
        <f>IF(LEN(VLOOKUP($A76,Questions!$B:$AA,20,FALSE))=0,"",VLOOKUP($A76,Questions!$B:$AA,20,FALSE))</f>
        <v>0</v>
      </c>
      <c r="D76" s="31" t="str">
        <f>IF(LEN(VLOOKUP($A76,Questions!$B:$AA,21,FALSE))=0,"",VLOOKUP($A76,Questions!$B:$AA,21,FALSE))</f>
        <v xml:space="preserve"> </v>
      </c>
      <c r="E76" s="31" t="str">
        <f>IF(LEN(VLOOKUP($A76,Questions!$B:$AA,22,FALSE))=0,"",VLOOKUP($A76,Questions!$B:$AA,22,FALSE))</f>
        <v xml:space="preserve"> </v>
      </c>
      <c r="F76" s="30" t="str">
        <f>IF(LEN(VLOOKUP($A76,Questions!$B:$AA,23,FALSE))=0,"",VLOOKUP($A76,Questions!$B:$AA,23,FALSE))</f>
        <v xml:space="preserve"> </v>
      </c>
      <c r="G76" s="31" t="str">
        <f>IF(LEN(VLOOKUP($A76,Questions!$B:$AA,24,FALSE))=0,"",VLOOKUP($A76,Questions!$B:$AA,24,FALSE))</f>
        <v xml:space="preserve"> </v>
      </c>
      <c r="H76" s="31" t="str">
        <f>IF(LEN(VLOOKUP($A76,Questions!$B:$AA,25,FALSE))=0,"",VLOOKUP($A76,Questions!$B:$AA,25,FALSE))</f>
        <v xml:space="preserve"> </v>
      </c>
      <c r="I76" s="31" t="str">
        <f>IF(LEN(VLOOKUP($A76,Questions!$B:$AA,26,FALSE))=0,"",VLOOKUP($A76,Questions!$B:$AA,26,FALSE))</f>
        <v xml:space="preserve"> </v>
      </c>
      <c r="J76" s="31" t="str">
        <f>IF(LEN(VLOOKUP($A76,Questions!$B:$AB,27,FALSE))=0,"",VLOOKUP($A76,Questions!$B:$AB,27,FALSE))</f>
        <v xml:space="preserve"> </v>
      </c>
    </row>
    <row r="77" spans="1:11" ht="48" customHeight="1">
      <c r="A77" s="10" t="s">
        <v>185</v>
      </c>
      <c r="B77" s="23" t="str">
        <f>VLOOKUP(A77,'HECVAT - Full | Vendor Response'!A$27:B$284,2,FALSE)</f>
        <v>Are access controls for staff within your organization based on structured rules, such as RBAC, ABAC, or PBAC?</v>
      </c>
      <c r="C77" s="30" t="str">
        <f>IF(LEN(VLOOKUP($A77,Questions!$B:$AA,20,FALSE))=0,"",VLOOKUP($A77,Questions!$B:$AA,20,FALSE))</f>
        <v xml:space="preserve"> </v>
      </c>
      <c r="D77" s="31" t="str">
        <f>IF(LEN(VLOOKUP($A77,Questions!$B:$AA,21,FALSE))=0,"",VLOOKUP($A77,Questions!$B:$AA,21,FALSE))</f>
        <v xml:space="preserve"> </v>
      </c>
      <c r="E77" s="30" t="str">
        <f>IF(LEN(VLOOKUP($A77,Questions!$B:$AA,22,FALSE))=0,"",VLOOKUP($A77,Questions!$B:$AA,22,FALSE))</f>
        <v xml:space="preserve"> </v>
      </c>
      <c r="F77" s="30" t="str">
        <f>IF(LEN(VLOOKUP($A77,Questions!$B:$AA,23,FALSE))=0,"",VLOOKUP($A77,Questions!$B:$AA,23,FALSE))</f>
        <v xml:space="preserve"> </v>
      </c>
      <c r="G77" s="31" t="str">
        <f>IF(LEN(VLOOKUP($A77,Questions!$B:$AA,24,FALSE))=0,"",VLOOKUP($A77,Questions!$B:$AA,24,FALSE))</f>
        <v xml:space="preserve"> </v>
      </c>
      <c r="H77" s="31" t="str">
        <f>IF(LEN(VLOOKUP($A77,Questions!$B:$AA,25,FALSE))=0,"",VLOOKUP($A77,Questions!$B:$AA,25,FALSE))</f>
        <v xml:space="preserve"> </v>
      </c>
      <c r="I77" s="31" t="str">
        <f>IF(LEN(VLOOKUP($A77,Questions!$B:$AA,26,FALSE))=0,"",VLOOKUP($A77,Questions!$B:$AA,26,FALSE))</f>
        <v xml:space="preserve"> </v>
      </c>
      <c r="J77" s="31" t="str">
        <f>IF(LEN(VLOOKUP($A77,Questions!$B:$AB,27,FALSE))=0,"",VLOOKUP($A77,Questions!$B:$AB,27,FALSE))</f>
        <v xml:space="preserve"> </v>
      </c>
    </row>
    <row r="78" spans="1:11" ht="48" customHeight="1">
      <c r="A78" s="10" t="s">
        <v>187</v>
      </c>
      <c r="B78" s="23" t="str">
        <f>VLOOKUP(A78,'HECVAT - Full | Vendor Response'!A$27:B$284,2,FALSE)</f>
        <v>Does the system provide data input validation and error messages?</v>
      </c>
      <c r="C78" s="222" t="str">
        <f>IF(LEN(VLOOKUP($A78,Questions!$B:$AA,20,FALSE))=0,"",VLOOKUP($A78,Questions!$B:$AA,20,FALSE))</f>
        <v xml:space="preserve"> </v>
      </c>
      <c r="D78" s="223" t="str">
        <f>IF(LEN(VLOOKUP($A78,Questions!$B:$AA,21,FALSE))=0,"",VLOOKUP($A78,Questions!$B:$AA,21,FALSE))</f>
        <v xml:space="preserve"> </v>
      </c>
      <c r="E78" s="222" t="str">
        <f>IF(LEN(VLOOKUP($A78,Questions!$B:$AA,22,FALSE))=0,"",VLOOKUP($A78,Questions!$B:$AA,22,FALSE))</f>
        <v xml:space="preserve"> </v>
      </c>
      <c r="F78" s="222" t="str">
        <f>IF(LEN(VLOOKUP($A78,Questions!$B:$AA,23,FALSE))=0,"",VLOOKUP($A78,Questions!$B:$AA,23,FALSE))</f>
        <v xml:space="preserve"> </v>
      </c>
      <c r="G78" s="222" t="str">
        <f>IF(LEN(VLOOKUP($A78,Questions!$B:$AA,24,FALSE))=0,"",VLOOKUP($A78,Questions!$B:$AA,24,FALSE))</f>
        <v xml:space="preserve"> </v>
      </c>
      <c r="H78" s="222" t="str">
        <f>IF(LEN(VLOOKUP($A78,Questions!$B:$AA,25,FALSE))=0,"",VLOOKUP($A78,Questions!$B:$AA,25,FALSE))</f>
        <v xml:space="preserve"> </v>
      </c>
      <c r="I78" s="222" t="str">
        <f>IF(LEN(VLOOKUP($A78,Questions!$B:$AA,26,FALSE))=0,"",VLOOKUP($A78,Questions!$B:$AA,26,FALSE))</f>
        <v xml:space="preserve"> </v>
      </c>
      <c r="J78" s="222" t="str">
        <f>IF(LEN(VLOOKUP($A78,Questions!$B:$AB,27,FALSE))=0,"",VLOOKUP($A78,Questions!$B:$AB,27,FALSE))</f>
        <v xml:space="preserve"> </v>
      </c>
    </row>
    <row r="79" spans="1:11" ht="64.5" customHeight="1">
      <c r="A79" s="10" t="s">
        <v>189</v>
      </c>
      <c r="B79" s="23" t="str">
        <f>VLOOKUP(A79,'HECVAT - Full | Vendor Response'!A$27:B$284,2,FALSE)</f>
        <v>Are you using a web application firewall (WAF)?</v>
      </c>
      <c r="C79" s="30" t="str">
        <f>IF(LEN(VLOOKUP($A79,Questions!$B:$AA,20,FALSE))=0,"",VLOOKUP($A79,Questions!$B:$AA,20,FALSE))</f>
        <v xml:space="preserve"> </v>
      </c>
      <c r="D79" s="31" t="str">
        <f>IF(LEN(VLOOKUP($A79,Questions!$B:$AA,21,FALSE))=0,"",VLOOKUP($A79,Questions!$B:$AA,21,FALSE))</f>
        <v xml:space="preserve"> </v>
      </c>
      <c r="E79" s="30" t="str">
        <f>IF(LEN(VLOOKUP($A79,Questions!$B:$AA,22,FALSE))=0,"",VLOOKUP($A79,Questions!$B:$AA,22,FALSE))</f>
        <v xml:space="preserve"> </v>
      </c>
      <c r="F79" s="30" t="str">
        <f>IF(LEN(VLOOKUP($A79,Questions!$B:$AA,23,FALSE))=0,"",VLOOKUP($A79,Questions!$B:$AA,23,FALSE))</f>
        <v xml:space="preserve"> </v>
      </c>
      <c r="G79" s="30" t="str">
        <f>IF(LEN(VLOOKUP($A79,Questions!$B:$AA,24,FALSE))=0,"",VLOOKUP($A79,Questions!$B:$AA,24,FALSE))</f>
        <v xml:space="preserve"> </v>
      </c>
      <c r="H79" s="30" t="str">
        <f>IF(LEN(VLOOKUP($A79,Questions!$B:$AA,25,FALSE))=0,"",VLOOKUP($A79,Questions!$B:$AA,25,FALSE))</f>
        <v xml:space="preserve"> </v>
      </c>
      <c r="I79" s="222" t="str">
        <f>IF(LEN(VLOOKUP($A79,Questions!$B:$AA,26,FALSE))=0,"",VLOOKUP($A79,Questions!$B:$AA,26,FALSE))</f>
        <v xml:space="preserve"> </v>
      </c>
      <c r="J79" s="222" t="str">
        <f>IF(LEN(VLOOKUP($A79,Questions!$B:$AB,27,FALSE))=0,"",VLOOKUP($A79,Questions!$B:$AB,27,FALSE))</f>
        <v xml:space="preserve"> </v>
      </c>
    </row>
    <row r="80" spans="1:11" ht="63" customHeight="1">
      <c r="A80" s="85" t="s">
        <v>191</v>
      </c>
      <c r="B80" s="23" t="str">
        <f>VLOOKUP(A80,'HECVAT - Full | Vendor Response'!A$27:B$284,2,FALSE)</f>
        <v>Do you have a process and implemented procedures for managing your software supply chain (e.g., libraries, repositories, frameworks, etc.)</v>
      </c>
      <c r="C80" s="30" t="str">
        <f>IF(LEN(VLOOKUP($A80,Questions!$B:$AA,20,FALSE))=0,"",VLOOKUP($A80,Questions!$B:$AA,20,FALSE))</f>
        <v xml:space="preserve"> </v>
      </c>
      <c r="D80" s="31" t="str">
        <f>IF(LEN(VLOOKUP($A80,Questions!$B:$AA,21,FALSE))=0,"",VLOOKUP($A80,Questions!$B:$AA,21,FALSE))</f>
        <v xml:space="preserve"> </v>
      </c>
      <c r="E80" s="31" t="str">
        <f>IF(LEN(VLOOKUP($A80,Questions!$B:$AA,22,FALSE))=0,"",VLOOKUP($A80,Questions!$B:$AA,22,FALSE))</f>
        <v xml:space="preserve"> </v>
      </c>
      <c r="F80" s="30" t="str">
        <f>IF(LEN(VLOOKUP($A80,Questions!$B:$AA,23,FALSE))=0,"",VLOOKUP($A80,Questions!$B:$AA,23,FALSE))</f>
        <v xml:space="preserve"> </v>
      </c>
      <c r="G80" s="31" t="str">
        <f>IF(LEN(VLOOKUP($A80,Questions!$B:$AA,24,FALSE))=0,"",VLOOKUP($A80,Questions!$B:$AA,24,FALSE))</f>
        <v xml:space="preserve"> </v>
      </c>
      <c r="H80" s="31" t="str">
        <f>IF(LEN(VLOOKUP($A80,Questions!$B:$AA,25,FALSE))=0,"",VLOOKUP($A80,Questions!$B:$AA,25,FALSE))</f>
        <v xml:space="preserve"> </v>
      </c>
      <c r="I80" s="31" t="str">
        <f>IF(LEN(VLOOKUP($A80,Questions!$B:$AA,26,FALSE))=0,"",VLOOKUP($A80,Questions!$B:$AA,26,FALSE))</f>
        <v xml:space="preserve"> </v>
      </c>
      <c r="J80" s="31" t="str">
        <f>IF(LEN(VLOOKUP($A80,Questions!$B:$AB,27,FALSE))=0,"",VLOOKUP($A80,Questions!$B:$AB,27,FALSE))</f>
        <v xml:space="preserve"> </v>
      </c>
    </row>
    <row r="81" spans="1:11" ht="53.25" customHeight="1">
      <c r="A81" s="10" t="s">
        <v>193</v>
      </c>
      <c r="B81" s="23" t="str">
        <f>VLOOKUP(A81,'HECVAT - Full | Vendor Response'!A$27:B$284,2,FALSE)</f>
        <v>Are only currently supported operating system(s), software, and libraries leveraged by the system(s)/application(s) that will have access to institution's data?</v>
      </c>
      <c r="C81" s="222" t="str">
        <f>IF(LEN(VLOOKUP($A81,Questions!$B:$AA,20,FALSE))=0,"",VLOOKUP($A81,Questions!$B:$AA,20,FALSE))</f>
        <v xml:space="preserve"> </v>
      </c>
      <c r="D81" s="223" t="str">
        <f>IF(LEN(VLOOKUP($A81,Questions!$B:$AA,21,FALSE))=0,"",VLOOKUP($A81,Questions!$B:$AA,21,FALSE))</f>
        <v xml:space="preserve"> </v>
      </c>
      <c r="E81" s="222" t="str">
        <f>IF(LEN(VLOOKUP($A81,Questions!$B:$AA,22,FALSE))=0,"",VLOOKUP($A81,Questions!$B:$AA,22,FALSE))</f>
        <v xml:space="preserve"> </v>
      </c>
      <c r="F81" s="222" t="str">
        <f>IF(LEN(VLOOKUP($A81,Questions!$B:$AA,23,FALSE))=0,"",VLOOKUP($A81,Questions!$B:$AA,23,FALSE))</f>
        <v xml:space="preserve"> </v>
      </c>
      <c r="G81" s="222" t="str">
        <f>IF(LEN(VLOOKUP($A81,Questions!$B:$AA,24,FALSE))=0,"",VLOOKUP($A81,Questions!$B:$AA,24,FALSE))</f>
        <v xml:space="preserve"> </v>
      </c>
      <c r="H81" s="222" t="str">
        <f>IF(LEN(VLOOKUP($A81,Questions!$B:$AA,25,FALSE))=0,"",VLOOKUP($A81,Questions!$B:$AA,25,FALSE))</f>
        <v xml:space="preserve"> </v>
      </c>
      <c r="I81" s="223" t="str">
        <f>IF(LEN(VLOOKUP($A81,Questions!$B:$AA,26,FALSE))=0,"",VLOOKUP($A81,Questions!$B:$AA,26,FALSE))</f>
        <v xml:space="preserve"> </v>
      </c>
      <c r="J81" s="223" t="str">
        <f>IF(LEN(VLOOKUP($A81,Questions!$B:$AB,27,FALSE))=0,"",VLOOKUP($A81,Questions!$B:$AB,27,FALSE))</f>
        <v xml:space="preserve"> </v>
      </c>
    </row>
    <row r="82" spans="1:11" ht="80.25" customHeight="1">
      <c r="A82" s="10" t="s">
        <v>195</v>
      </c>
      <c r="B82" s="23" t="str">
        <f>VLOOKUP(A82,'HECVAT - Full | Vendor Response'!A$27:B$284,2,FALSE)</f>
        <v>If mobile, is the application available from a trusted source (e.g., App Store, Google Play Store)?</v>
      </c>
      <c r="C82" s="222" t="str">
        <f>IF(LEN(VLOOKUP($A82,Questions!$B:$AA,20,FALSE))=0,"",VLOOKUP($A82,Questions!$B:$AA,20,FALSE))</f>
        <v xml:space="preserve"> </v>
      </c>
      <c r="D82" s="223" t="str">
        <f>IF(LEN(VLOOKUP($A82,Questions!$B:$AA,21,FALSE))=0,"",VLOOKUP($A82,Questions!$B:$AA,21,FALSE))</f>
        <v xml:space="preserve"> </v>
      </c>
      <c r="E82" s="222" t="str">
        <f>IF(LEN(VLOOKUP($A82,Questions!$B:$AA,22,FALSE))=0,"",VLOOKUP($A82,Questions!$B:$AA,22,FALSE))</f>
        <v xml:space="preserve"> </v>
      </c>
      <c r="F82" s="222" t="str">
        <f>IF(LEN(VLOOKUP($A82,Questions!$B:$AA,23,FALSE))=0,"",VLOOKUP($A82,Questions!$B:$AA,23,FALSE))</f>
        <v xml:space="preserve"> </v>
      </c>
      <c r="G82" s="223" t="str">
        <f>IF(LEN(VLOOKUP($A82,Questions!$B:$AA,24,FALSE))=0,"",VLOOKUP($A82,Questions!$B:$AA,24,FALSE))</f>
        <v xml:space="preserve"> </v>
      </c>
      <c r="H82" s="222" t="str">
        <f>IF(LEN(VLOOKUP($A82,Questions!$B:$AA,25,FALSE))=0,"",VLOOKUP($A82,Questions!$B:$AA,25,FALSE))</f>
        <v xml:space="preserve"> </v>
      </c>
      <c r="I82" s="223" t="str">
        <f>IF(LEN(VLOOKUP($A82,Questions!$B:$AA,26,FALSE))=0,"",VLOOKUP($A82,Questions!$B:$AA,26,FALSE))</f>
        <v xml:space="preserve"> </v>
      </c>
      <c r="J82" s="223" t="str">
        <f>IF(LEN(VLOOKUP($A82,Questions!$B:$AB,27,FALSE))=0,"",VLOOKUP($A82,Questions!$B:$AB,27,FALSE))</f>
        <v xml:space="preserve"> </v>
      </c>
    </row>
    <row r="83" spans="1:11" s="1" customFormat="1" ht="80.25" customHeight="1">
      <c r="A83" s="10" t="s">
        <v>197</v>
      </c>
      <c r="B83" s="23" t="str">
        <f>VLOOKUP(A83,'HECVAT - Full | Vendor Response'!A$27:B$284,2,FALSE)</f>
        <v>Does your application require access to location or GPS data?</v>
      </c>
      <c r="C83" s="223" t="str">
        <f>IF(LEN(VLOOKUP($A83,Questions!$B:$AA,20,FALSE))=0,"",VLOOKUP($A83,Questions!$B:$AA,20,FALSE))</f>
        <v xml:space="preserve"> </v>
      </c>
      <c r="D83" s="223" t="str">
        <f>IF(LEN(VLOOKUP($A83,Questions!$B:$AA,21,FALSE))=0,"",VLOOKUP($A83,Questions!$B:$AA,21,FALSE))</f>
        <v xml:space="preserve"> </v>
      </c>
      <c r="E83" s="222" t="str">
        <f>IF(LEN(VLOOKUP($A83,Questions!$B:$AA,22,FALSE))=0,"",VLOOKUP($A83,Questions!$B:$AA,22,FALSE))</f>
        <v xml:space="preserve"> </v>
      </c>
      <c r="F83" s="223" t="str">
        <f>IF(LEN(VLOOKUP($A83,Questions!$B:$AA,23,FALSE))=0,"",VLOOKUP($A83,Questions!$B:$AA,23,FALSE))</f>
        <v xml:space="preserve"> </v>
      </c>
      <c r="G83" s="223" t="str">
        <f>IF(LEN(VLOOKUP($A83,Questions!$B:$AA,24,FALSE))=0,"",VLOOKUP($A83,Questions!$B:$AA,24,FALSE))</f>
        <v xml:space="preserve"> </v>
      </c>
      <c r="H83" s="223" t="str">
        <f>IF(LEN(VLOOKUP($A83,Questions!$B:$AA,25,FALSE))=0,"",VLOOKUP($A83,Questions!$B:$AA,25,FALSE))</f>
        <v xml:space="preserve"> </v>
      </c>
      <c r="I83" s="222" t="str">
        <f>IF(LEN(VLOOKUP($A83,Questions!$B:$AA,26,FALSE))=0,"",VLOOKUP($A83,Questions!$B:$AA,26,FALSE))</f>
        <v xml:space="preserve"> </v>
      </c>
      <c r="J83" s="222" t="str">
        <f>IF(LEN(VLOOKUP($A83,Questions!$B:$AB,27,FALSE))=0,"",VLOOKUP($A83,Questions!$B:$AB,27,FALSE))</f>
        <v xml:space="preserve"> </v>
      </c>
      <c r="K83" s="4"/>
    </row>
    <row r="84" spans="1:11" ht="72" customHeight="1">
      <c r="A84" s="10" t="s">
        <v>199</v>
      </c>
      <c r="B84" s="23" t="str">
        <f>VLOOKUP(A84,'HECVAT - Full | Vendor Response'!A$27:B$284,2,FALSE)</f>
        <v>Does your application provide separation of duties between security administration, system administration, and standard user functions?</v>
      </c>
      <c r="C84" s="222" t="str">
        <f>IF(LEN(VLOOKUP($A84,Questions!$B:$AA,20,FALSE))=0,"",VLOOKUP($A84,Questions!$B:$AA,20,FALSE))</f>
        <v xml:space="preserve"> </v>
      </c>
      <c r="D84" s="223" t="str">
        <f>IF(LEN(VLOOKUP($A84,Questions!$B:$AA,21,FALSE))=0,"",VLOOKUP($A84,Questions!$B:$AA,21,FALSE))</f>
        <v xml:space="preserve"> </v>
      </c>
      <c r="E84" s="222" t="str">
        <f>IF(LEN(VLOOKUP($A84,Questions!$B:$AA,22,FALSE))=0,"",VLOOKUP($A84,Questions!$B:$AA,22,FALSE))</f>
        <v xml:space="preserve"> </v>
      </c>
      <c r="F84" s="222" t="str">
        <f>IF(LEN(VLOOKUP($A84,Questions!$B:$AA,23,FALSE))=0,"",VLOOKUP($A84,Questions!$B:$AA,23,FALSE))</f>
        <v xml:space="preserve"> </v>
      </c>
      <c r="G84" s="223" t="str">
        <f>IF(LEN(VLOOKUP($A84,Questions!$B:$AA,24,FALSE))=0,"",VLOOKUP($A84,Questions!$B:$AA,24,FALSE))</f>
        <v xml:space="preserve"> </v>
      </c>
      <c r="H84" s="223" t="str">
        <f>IF(LEN(VLOOKUP($A84,Questions!$B:$AA,25,FALSE))=0,"",VLOOKUP($A84,Questions!$B:$AA,25,FALSE))</f>
        <v xml:space="preserve"> </v>
      </c>
      <c r="I84" s="223" t="str">
        <f>IF(LEN(VLOOKUP($A84,Questions!$B:$AA,26,FALSE))=0,"",VLOOKUP($A84,Questions!$B:$AA,26,FALSE))</f>
        <v xml:space="preserve"> </v>
      </c>
      <c r="J84" s="223" t="str">
        <f>IF(LEN(VLOOKUP($A84,Questions!$B:$AB,27,FALSE))=0,"",VLOOKUP($A84,Questions!$B:$AB,27,FALSE))</f>
        <v xml:space="preserve"> </v>
      </c>
    </row>
    <row r="85" spans="1:11" ht="64.5" customHeight="1">
      <c r="A85" s="10" t="s">
        <v>201</v>
      </c>
      <c r="B85" s="23" t="str">
        <f>VLOOKUP(A85,'HECVAT - Full | Vendor Response'!A$27:B$284,2,FALSE)</f>
        <v>Do you have a fully implemented policy or procedure that details how your employees obtain administrator access to institutional instance of the application?</v>
      </c>
      <c r="C85" s="222" t="str">
        <f>IF(LEN(VLOOKUP($A85,Questions!$B:$AA,20,FALSE))=0,"",VLOOKUP($A85,Questions!$B:$AA,20,FALSE))</f>
        <v xml:space="preserve"> </v>
      </c>
      <c r="D85" s="223" t="str">
        <f>IF(LEN(VLOOKUP($A85,Questions!$B:$AA,21,FALSE))=0,"",VLOOKUP($A85,Questions!$B:$AA,21,FALSE))</f>
        <v xml:space="preserve"> </v>
      </c>
      <c r="E85" s="222" t="str">
        <f>IF(LEN(VLOOKUP($A85,Questions!$B:$AA,22,FALSE))=0,"",VLOOKUP($A85,Questions!$B:$AA,22,FALSE))</f>
        <v xml:space="preserve"> </v>
      </c>
      <c r="F85" s="222" t="str">
        <f>IF(LEN(VLOOKUP($A85,Questions!$B:$AA,23,FALSE))=0,"",VLOOKUP($A85,Questions!$B:$AA,23,FALSE))</f>
        <v xml:space="preserve"> </v>
      </c>
      <c r="G85" s="223" t="str">
        <f>IF(LEN(VLOOKUP($A85,Questions!$B:$AA,24,FALSE))=0,"",VLOOKUP($A85,Questions!$B:$AA,24,FALSE))</f>
        <v xml:space="preserve"> </v>
      </c>
      <c r="H85" s="222" t="str">
        <f>IF(LEN(VLOOKUP($A85,Questions!$B:$AA,25,FALSE))=0,"",VLOOKUP($A85,Questions!$B:$AA,25,FALSE))</f>
        <v xml:space="preserve"> </v>
      </c>
      <c r="I85" s="222" t="str">
        <f>IF(LEN(VLOOKUP($A85,Questions!$B:$AA,26,FALSE))=0,"",VLOOKUP($A85,Questions!$B:$AA,26,FALSE))</f>
        <v xml:space="preserve"> </v>
      </c>
      <c r="J85" s="222" t="str">
        <f>IF(LEN(VLOOKUP($A85,Questions!$B:$AB,27,FALSE))=0,"",VLOOKUP($A85,Questions!$B:$AB,27,FALSE))</f>
        <v xml:space="preserve"> </v>
      </c>
    </row>
    <row r="86" spans="1:11" ht="64.5" customHeight="1">
      <c r="A86" s="10" t="s">
        <v>203</v>
      </c>
      <c r="B86" s="23" t="str">
        <f>VLOOKUP(A86,'HECVAT - Full | Vendor Response'!A$27:B$284,2,FALSE)</f>
        <v>Have your developers been trained in secure coding techniques?</v>
      </c>
      <c r="C86" s="222" t="str">
        <f>IF(LEN(VLOOKUP($A86,Questions!$B:$AA,20,FALSE))=0,"",VLOOKUP($A86,Questions!$B:$AA,20,FALSE))</f>
        <v xml:space="preserve"> </v>
      </c>
      <c r="D86" s="223" t="str">
        <f>IF(LEN(VLOOKUP($A86,Questions!$B:$AA,21,FALSE))=0,"",VLOOKUP($A86,Questions!$B:$AA,21,FALSE))</f>
        <v xml:space="preserve"> </v>
      </c>
      <c r="E86" s="222" t="str">
        <f>IF(LEN(VLOOKUP($A86,Questions!$B:$AA,22,FALSE))=0,"",VLOOKUP($A86,Questions!$B:$AA,22,FALSE))</f>
        <v xml:space="preserve"> </v>
      </c>
      <c r="F86" s="222" t="str">
        <f>IF(LEN(VLOOKUP($A86,Questions!$B:$AA,23,FALSE))=0,"",VLOOKUP($A86,Questions!$B:$AA,23,FALSE))</f>
        <v xml:space="preserve"> </v>
      </c>
      <c r="G86" s="223" t="str">
        <f>IF(LEN(VLOOKUP($A86,Questions!$B:$AA,24,FALSE))=0,"",VLOOKUP($A86,Questions!$B:$AA,24,FALSE))</f>
        <v xml:space="preserve"> </v>
      </c>
      <c r="H86" s="222" t="str">
        <f>IF(LEN(VLOOKUP($A86,Questions!$B:$AA,25,FALSE))=0,"",VLOOKUP($A86,Questions!$B:$AA,25,FALSE))</f>
        <v xml:space="preserve"> </v>
      </c>
      <c r="I86" s="222" t="str">
        <f>IF(LEN(VLOOKUP($A86,Questions!$B:$AA,26,FALSE))=0,"",VLOOKUP($A86,Questions!$B:$AA,26,FALSE))</f>
        <v xml:space="preserve"> </v>
      </c>
      <c r="J86" s="222" t="str">
        <f>IF(LEN(VLOOKUP($A86,Questions!$B:$AB,27,FALSE))=0,"",VLOOKUP($A86,Questions!$B:$AB,27,FALSE))</f>
        <v xml:space="preserve"> </v>
      </c>
    </row>
    <row r="87" spans="1:11" ht="64.5" customHeight="1">
      <c r="A87" s="10" t="s">
        <v>205</v>
      </c>
      <c r="B87" s="23" t="str">
        <f>VLOOKUP(A87,'HECVAT - Full | Vendor Response'!A$27:B$284,2,FALSE)</f>
        <v>Was your application developed using secure coding techniques?</v>
      </c>
      <c r="C87" s="222" t="str">
        <f>IF(LEN(VLOOKUP($A87,Questions!$B:$AA,20,FALSE))=0,"",VLOOKUP($A87,Questions!$B:$AA,20,FALSE))</f>
        <v xml:space="preserve"> </v>
      </c>
      <c r="D87" s="223" t="str">
        <f>IF(LEN(VLOOKUP($A87,Questions!$B:$AA,21,FALSE))=0,"",VLOOKUP($A87,Questions!$B:$AA,21,FALSE))</f>
        <v xml:space="preserve"> </v>
      </c>
      <c r="E87" s="222" t="str">
        <f>IF(LEN(VLOOKUP($A87,Questions!$B:$AA,22,FALSE))=0,"",VLOOKUP($A87,Questions!$B:$AA,22,FALSE))</f>
        <v xml:space="preserve"> </v>
      </c>
      <c r="F87" s="222" t="str">
        <f>IF(LEN(VLOOKUP($A87,Questions!$B:$AA,23,FALSE))=0,"",VLOOKUP($A87,Questions!$B:$AA,23,FALSE))</f>
        <v xml:space="preserve"> </v>
      </c>
      <c r="G87" s="223" t="str">
        <f>IF(LEN(VLOOKUP($A87,Questions!$B:$AA,24,FALSE))=0,"",VLOOKUP($A87,Questions!$B:$AA,24,FALSE))</f>
        <v xml:space="preserve"> </v>
      </c>
      <c r="H87" s="222" t="str">
        <f>IF(LEN(VLOOKUP($A87,Questions!$B:$AA,25,FALSE))=0,"",VLOOKUP($A87,Questions!$B:$AA,25,FALSE))</f>
        <v xml:space="preserve"> </v>
      </c>
      <c r="I87" s="222" t="str">
        <f>IF(LEN(VLOOKUP($A87,Questions!$B:$AA,26,FALSE))=0,"",VLOOKUP($A87,Questions!$B:$AA,26,FALSE))</f>
        <v xml:space="preserve"> </v>
      </c>
      <c r="J87" s="222" t="str">
        <f>IF(LEN(VLOOKUP($A87,Questions!$B:$AB,27,FALSE))=0,"",VLOOKUP($A87,Questions!$B:$AB,27,FALSE))</f>
        <v xml:space="preserve"> </v>
      </c>
    </row>
    <row r="88" spans="1:11" ht="64.5" customHeight="1">
      <c r="A88" s="10" t="s">
        <v>207</v>
      </c>
      <c r="B88" s="23" t="str">
        <f>VLOOKUP(A88,'HECVAT - Full | Vendor Response'!A$27:B$284,2,FALSE)</f>
        <v>Do you subject your code to static code analysis and/or static application security testing prior to release?</v>
      </c>
      <c r="C88" s="222" t="str">
        <f>IF(LEN(VLOOKUP($A88,Questions!$B:$AA,20,FALSE))=0,"",VLOOKUP($A88,Questions!$B:$AA,20,FALSE))</f>
        <v xml:space="preserve"> </v>
      </c>
      <c r="D88" s="223" t="str">
        <f>IF(LEN(VLOOKUP($A88,Questions!$B:$AA,21,FALSE))=0,"",VLOOKUP($A88,Questions!$B:$AA,21,FALSE))</f>
        <v xml:space="preserve"> </v>
      </c>
      <c r="E88" s="222" t="str">
        <f>IF(LEN(VLOOKUP($A88,Questions!$B:$AA,22,FALSE))=0,"",VLOOKUP($A88,Questions!$B:$AA,22,FALSE))</f>
        <v xml:space="preserve"> </v>
      </c>
      <c r="F88" s="222" t="str">
        <f>IF(LEN(VLOOKUP($A88,Questions!$B:$AA,23,FALSE))=0,"",VLOOKUP($A88,Questions!$B:$AA,23,FALSE))</f>
        <v xml:space="preserve"> </v>
      </c>
      <c r="G88" s="223" t="str">
        <f>IF(LEN(VLOOKUP($A88,Questions!$B:$AA,24,FALSE))=0,"",VLOOKUP($A88,Questions!$B:$AA,24,FALSE))</f>
        <v xml:space="preserve"> </v>
      </c>
      <c r="H88" s="222" t="str">
        <f>IF(LEN(VLOOKUP($A88,Questions!$B:$AA,25,FALSE))=0,"",VLOOKUP($A88,Questions!$B:$AA,25,FALSE))</f>
        <v xml:space="preserve"> </v>
      </c>
      <c r="I88" s="222" t="str">
        <f>IF(LEN(VLOOKUP($A88,Questions!$B:$AA,26,FALSE))=0,"",VLOOKUP($A88,Questions!$B:$AA,26,FALSE))</f>
        <v xml:space="preserve"> </v>
      </c>
      <c r="J88" s="222" t="str">
        <f>IF(LEN(VLOOKUP($A88,Questions!$B:$AB,27,FALSE))=0,"",VLOOKUP($A88,Questions!$B:$AB,27,FALSE))</f>
        <v xml:space="preserve"> </v>
      </c>
    </row>
    <row r="89" spans="1:11" ht="64.5" customHeight="1">
      <c r="A89" s="10" t="s">
        <v>209</v>
      </c>
      <c r="B89" s="23" t="str">
        <f>VLOOKUP(A89,'HECVAT - Full | Vendor Response'!A$27:B$284,2,FALSE)</f>
        <v>Do you have software testing processes (dynamic or static) that are established and followed?</v>
      </c>
      <c r="C89" s="222" t="str">
        <f>IF(LEN(VLOOKUP($A89,Questions!$B:$AA,20,FALSE))=0,"",VLOOKUP($A89,Questions!$B:$AA,20,FALSE))</f>
        <v xml:space="preserve"> </v>
      </c>
      <c r="D89" s="223" t="str">
        <f>IF(LEN(VLOOKUP($A89,Questions!$B:$AA,21,FALSE))=0,"",VLOOKUP($A89,Questions!$B:$AA,21,FALSE))</f>
        <v xml:space="preserve"> </v>
      </c>
      <c r="E89" s="222" t="str">
        <f>IF(LEN(VLOOKUP($A89,Questions!$B:$AA,22,FALSE))=0,"",VLOOKUP($A89,Questions!$B:$AA,22,FALSE))</f>
        <v xml:space="preserve"> </v>
      </c>
      <c r="F89" s="223" t="str">
        <f>IF(LEN(VLOOKUP($A89,Questions!$B:$AA,23,FALSE))=0,"",VLOOKUP($A89,Questions!$B:$AA,23,FALSE))</f>
        <v xml:space="preserve"> </v>
      </c>
      <c r="G89" s="223" t="str">
        <f>IF(LEN(VLOOKUP($A89,Questions!$B:$AA,24,FALSE))=0,"",VLOOKUP($A89,Questions!$B:$AA,24,FALSE))</f>
        <v xml:space="preserve"> </v>
      </c>
      <c r="H89" s="223" t="str">
        <f>IF(LEN(VLOOKUP($A89,Questions!$B:$AA,25,FALSE))=0,"",VLOOKUP($A89,Questions!$B:$AA,25,FALSE))</f>
        <v xml:space="preserve"> </v>
      </c>
      <c r="I89" s="223" t="str">
        <f>IF(LEN(VLOOKUP($A89,Questions!$B:$AA,26,FALSE))=0,"",VLOOKUP($A89,Questions!$B:$AA,26,FALSE))</f>
        <v xml:space="preserve"> </v>
      </c>
      <c r="J89" s="223" t="str">
        <f>IF(LEN(VLOOKUP($A89,Questions!$B:$AB,27,FALSE))=0,"",VLOOKUP($A89,Questions!$B:$AB,27,FALSE))</f>
        <v xml:space="preserve"> </v>
      </c>
      <c r="K89" s="238" t="s">
        <v>3325</v>
      </c>
    </row>
    <row r="90" spans="1:11" ht="36" customHeight="1">
      <c r="A90" s="283" t="str">
        <f>IF($C$31="","Authentication, Authorization, and Accounting",IF($C$31="Yes","AAA - Optional based on QUALIFIER response.","Authentication, Authorization, and Accounting"))</f>
        <v>Authentication, Authorization, and Accounting</v>
      </c>
      <c r="B90" s="283"/>
      <c r="C90" s="18" t="str">
        <f>C$23</f>
        <v>CIS Critical Security Controls v6.1</v>
      </c>
      <c r="D90" s="18" t="str">
        <f t="shared" ref="D90:J90" si="6">D$23</f>
        <v>HIPAA</v>
      </c>
      <c r="E90" s="18" t="str">
        <f t="shared" si="6"/>
        <v>ISO 27002:27013</v>
      </c>
      <c r="F90" s="18" t="str">
        <f t="shared" si="6"/>
        <v>NIST Cybersecurity Framework</v>
      </c>
      <c r="G90" s="18" t="str">
        <f t="shared" si="6"/>
        <v>NIST SP 800-171r2</v>
      </c>
      <c r="H90" s="18" t="str">
        <f t="shared" si="6"/>
        <v>NIST SP 800-53r4</v>
      </c>
      <c r="I90" s="18" t="str">
        <f t="shared" si="6"/>
        <v>PCI DSS</v>
      </c>
      <c r="J90" s="18" t="str">
        <f t="shared" si="6"/>
        <v>Trusted CI</v>
      </c>
    </row>
    <row r="91" spans="1:11" ht="36" customHeight="1">
      <c r="A91" s="10" t="s">
        <v>211</v>
      </c>
      <c r="B91" s="23" t="str">
        <f>VLOOKUP(A91,'HECVAT - Full | Vendor Response'!A$27:B$284,2,FALSE)</f>
        <v>Does your solution support single sign-on (SSO) protocols for user and administrator authentication?</v>
      </c>
      <c r="C91" s="30" t="str">
        <f>IF(LEN(VLOOKUP($A91,Questions!$B:$AA,20,FALSE))=0,"",VLOOKUP($A91,Questions!$B:$AA,20,FALSE))</f>
        <v xml:space="preserve"> </v>
      </c>
      <c r="D91" s="32" t="str">
        <f>IF(LEN(VLOOKUP($A91,Questions!$B:$AA,21,FALSE))=0,"",VLOOKUP($A91,Questions!$B:$AA,21,FALSE))</f>
        <v xml:space="preserve"> </v>
      </c>
      <c r="E91" s="30" t="str">
        <f>IF(LEN(VLOOKUP($A91,Questions!$B:$AA,22,FALSE))=0,"",VLOOKUP($A91,Questions!$B:$AA,22,FALSE))</f>
        <v xml:space="preserve"> </v>
      </c>
      <c r="F91" s="30" t="str">
        <f>IF(LEN(VLOOKUP($A91,Questions!$B:$AA,23,FALSE))=0,"",VLOOKUP($A91,Questions!$B:$AA,23,FALSE))</f>
        <v xml:space="preserve"> </v>
      </c>
      <c r="G91" s="30" t="str">
        <f>IF(LEN(VLOOKUP($A91,Questions!$B:$AA,24,FALSE))=0,"",VLOOKUP($A91,Questions!$B:$AA,24,FALSE))</f>
        <v xml:space="preserve"> </v>
      </c>
      <c r="H91" s="30" t="str">
        <f>IF(LEN(VLOOKUP($A91,Questions!$B:$AA,25,FALSE))=0,"",VLOOKUP($A91,Questions!$B:$AA,25,FALSE))</f>
        <v xml:space="preserve"> </v>
      </c>
      <c r="I91" s="30" t="str">
        <f>IF(LEN(VLOOKUP($A91,Questions!$B:$AA,26,FALSE))=0,"",VLOOKUP($A91,Questions!$B:$AA,26,FALSE))</f>
        <v xml:space="preserve"> </v>
      </c>
      <c r="J91" s="30" t="str">
        <f>IF(LEN(VLOOKUP($A91,Questions!$B:$AB,27,FALSE))=0,"",VLOOKUP($A91,Questions!$B:$AB,27,FALSE))</f>
        <v xml:space="preserve"> </v>
      </c>
    </row>
    <row r="92" spans="1:11" ht="48" customHeight="1">
      <c r="A92" s="10" t="s">
        <v>214</v>
      </c>
      <c r="B92" s="23" t="str">
        <f>VLOOKUP(A92,'HECVAT - Full | Vendor Response'!A$27:B$284,2,FALSE)</f>
        <v>Does your solution support local authentication protocols for user and administrator authentication?</v>
      </c>
      <c r="C92" s="30" t="str">
        <f>IF(LEN(VLOOKUP($A92,Questions!$B:$AA,20,FALSE))=0,"",VLOOKUP($A92,Questions!$B:$AA,20,FALSE))</f>
        <v xml:space="preserve"> </v>
      </c>
      <c r="D92" s="32" t="str">
        <f>IF(LEN(VLOOKUP($A92,Questions!$B:$AA,21,FALSE))=0,"",VLOOKUP($A92,Questions!$B:$AA,21,FALSE))</f>
        <v xml:space="preserve"> </v>
      </c>
      <c r="E92" s="30" t="str">
        <f>IF(LEN(VLOOKUP($A92,Questions!$B:$AA,22,FALSE))=0,"",VLOOKUP($A92,Questions!$B:$AA,22,FALSE))</f>
        <v xml:space="preserve"> </v>
      </c>
      <c r="F92" s="30" t="str">
        <f>IF(LEN(VLOOKUP($A92,Questions!$B:$AA,23,FALSE))=0,"",VLOOKUP($A92,Questions!$B:$AA,23,FALSE))</f>
        <v xml:space="preserve"> </v>
      </c>
      <c r="G92" s="30" t="str">
        <f>IF(LEN(VLOOKUP($A92,Questions!$B:$AA,24,FALSE))=0,"",VLOOKUP($A92,Questions!$B:$AA,24,FALSE))</f>
        <v xml:space="preserve"> </v>
      </c>
      <c r="H92" s="30" t="str">
        <f>IF(LEN(VLOOKUP($A92,Questions!$B:$AA,25,FALSE))=0,"",VLOOKUP($A92,Questions!$B:$AA,25,FALSE))</f>
        <v xml:space="preserve"> </v>
      </c>
      <c r="I92" s="30" t="str">
        <f>IF(LEN(VLOOKUP($A92,Questions!$B:$AA,26,FALSE))=0,"",VLOOKUP($A92,Questions!$B:$AA,26,FALSE))</f>
        <v xml:space="preserve"> </v>
      </c>
      <c r="J92" s="30" t="str">
        <f>IF(LEN(VLOOKUP($A92,Questions!$B:$AB,27,FALSE))=0,"",VLOOKUP($A92,Questions!$B:$AB,27,FALSE))</f>
        <v xml:space="preserve"> </v>
      </c>
    </row>
    <row r="93" spans="1:11" ht="48" customHeight="1">
      <c r="A93" s="10" t="s">
        <v>217</v>
      </c>
      <c r="B93" s="23" t="str">
        <f>VLOOKUP(A93,'HECVAT - Full | Vendor Response'!A$27:B$284,2,FALSE)</f>
        <v>Can you enforce password/passphrase aging requirements?</v>
      </c>
      <c r="C93" s="30" t="str">
        <f>IF(LEN(VLOOKUP($A93,Questions!$B:$AA,20,FALSE))=0,"",VLOOKUP($A93,Questions!$B:$AA,20,FALSE))</f>
        <v xml:space="preserve"> </v>
      </c>
      <c r="D93" s="32" t="str">
        <f>IF(LEN(VLOOKUP($A93,Questions!$B:$AA,21,FALSE))=0,"",VLOOKUP($A93,Questions!$B:$AA,21,FALSE))</f>
        <v xml:space="preserve"> </v>
      </c>
      <c r="E93" s="30" t="str">
        <f>IF(LEN(VLOOKUP($A93,Questions!$B:$AA,22,FALSE))=0,"",VLOOKUP($A93,Questions!$B:$AA,22,FALSE))</f>
        <v xml:space="preserve"> </v>
      </c>
      <c r="F93" s="30" t="str">
        <f>IF(LEN(VLOOKUP($A93,Questions!$B:$AA,23,FALSE))=0,"",VLOOKUP($A93,Questions!$B:$AA,23,FALSE))</f>
        <v xml:space="preserve"> </v>
      </c>
      <c r="G93" s="31" t="str">
        <f>IF(LEN(VLOOKUP($A93,Questions!$B:$AA,24,FALSE))=0,"",VLOOKUP($A93,Questions!$B:$AA,24,FALSE))</f>
        <v xml:space="preserve"> </v>
      </c>
      <c r="H93" s="31" t="str">
        <f>IF(LEN(VLOOKUP($A93,Questions!$B:$AA,25,FALSE))=0,"",VLOOKUP($A93,Questions!$B:$AA,25,FALSE))</f>
        <v xml:space="preserve"> </v>
      </c>
      <c r="I93" s="30" t="str">
        <f>IF(LEN(VLOOKUP($A93,Questions!$B:$AA,26,FALSE))=0,"",VLOOKUP($A93,Questions!$B:$AA,26,FALSE))</f>
        <v xml:space="preserve"> </v>
      </c>
      <c r="J93" s="30" t="str">
        <f>IF(LEN(VLOOKUP($A93,Questions!$B:$AB,27,FALSE))=0,"",VLOOKUP($A93,Questions!$B:$AB,27,FALSE))</f>
        <v xml:space="preserve"> </v>
      </c>
    </row>
    <row r="94" spans="1:11" ht="65.25" customHeight="1">
      <c r="A94" s="10" t="s">
        <v>219</v>
      </c>
      <c r="B94" s="23" t="str">
        <f>VLOOKUP(A94,'HECVAT - Full | Vendor Response'!A$27:B$284,2,FALSE)</f>
        <v>Can you enforce password/passphrase complexity requirements (provided by the institution)?</v>
      </c>
      <c r="C94" s="30" t="str">
        <f>IF(LEN(VLOOKUP($A94,Questions!$B:$AA,20,FALSE))=0,"",VLOOKUP($A94,Questions!$B:$AA,20,FALSE))</f>
        <v xml:space="preserve"> </v>
      </c>
      <c r="D94" s="32" t="str">
        <f>IF(LEN(VLOOKUP($A94,Questions!$B:$AA,21,FALSE))=0,"",VLOOKUP($A94,Questions!$B:$AA,21,FALSE))</f>
        <v xml:space="preserve"> </v>
      </c>
      <c r="E94" s="30" t="str">
        <f>IF(LEN(VLOOKUP($A94,Questions!$B:$AA,22,FALSE))=0,"",VLOOKUP($A94,Questions!$B:$AA,22,FALSE))</f>
        <v xml:space="preserve"> </v>
      </c>
      <c r="F94" s="30" t="str">
        <f>IF(LEN(VLOOKUP($A94,Questions!$B:$AA,23,FALSE))=0,"",VLOOKUP($A94,Questions!$B:$AA,23,FALSE))</f>
        <v xml:space="preserve"> </v>
      </c>
      <c r="G94" s="30" t="str">
        <f>IF(LEN(VLOOKUP($A94,Questions!$B:$AA,24,FALSE))=0,"",VLOOKUP($A94,Questions!$B:$AA,24,FALSE))</f>
        <v xml:space="preserve"> </v>
      </c>
      <c r="H94" s="30" t="str">
        <f>IF(LEN(VLOOKUP($A94,Questions!$B:$AA,25,FALSE))=0,"",VLOOKUP($A94,Questions!$B:$AA,25,FALSE))</f>
        <v xml:space="preserve"> </v>
      </c>
      <c r="I94" s="30" t="str">
        <f>IF(LEN(VLOOKUP($A94,Questions!$B:$AA,26,FALSE))=0,"",VLOOKUP($A94,Questions!$B:$AA,26,FALSE))</f>
        <v xml:space="preserve"> </v>
      </c>
      <c r="J94" s="30" t="str">
        <f>IF(LEN(VLOOKUP($A94,Questions!$B:$AB,27,FALSE))=0,"",VLOOKUP($A94,Questions!$B:$AB,27,FALSE))</f>
        <v xml:space="preserve"> </v>
      </c>
    </row>
    <row r="95" spans="1:11" ht="65.25" customHeight="1">
      <c r="A95" s="10" t="s">
        <v>221</v>
      </c>
      <c r="B95" s="23" t="str">
        <f>VLOOKUP(A95,'HECVAT - Full | Vendor Response'!A$27:B$284,2,FALSE)</f>
        <v>Does the system have password complexity or length limitations and/or restrictions?</v>
      </c>
      <c r="C95" s="30" t="str">
        <f>IF(LEN(VLOOKUP($A95,Questions!$B:$AA,20,FALSE))=0,"",VLOOKUP($A95,Questions!$B:$AA,20,FALSE))</f>
        <v xml:space="preserve"> </v>
      </c>
      <c r="D95" s="32" t="str">
        <f>IF(LEN(VLOOKUP($A95,Questions!$B:$AA,21,FALSE))=0,"",VLOOKUP($A95,Questions!$B:$AA,21,FALSE))</f>
        <v xml:space="preserve"> </v>
      </c>
      <c r="E95" s="30" t="str">
        <f>IF(LEN(VLOOKUP($A95,Questions!$B:$AA,22,FALSE))=0,"",VLOOKUP($A95,Questions!$B:$AA,22,FALSE))</f>
        <v xml:space="preserve"> </v>
      </c>
      <c r="F95" s="30" t="str">
        <f>IF(LEN(VLOOKUP($A95,Questions!$B:$AA,23,FALSE))=0,"",VLOOKUP($A95,Questions!$B:$AA,23,FALSE))</f>
        <v xml:space="preserve"> </v>
      </c>
      <c r="G95" s="30" t="str">
        <f>IF(LEN(VLOOKUP($A95,Questions!$B:$AA,24,FALSE))=0,"",VLOOKUP($A95,Questions!$B:$AA,24,FALSE))</f>
        <v xml:space="preserve"> </v>
      </c>
      <c r="H95" s="30" t="str">
        <f>IF(LEN(VLOOKUP($A95,Questions!$B:$AA,25,FALSE))=0,"",VLOOKUP($A95,Questions!$B:$AA,25,FALSE))</f>
        <v xml:space="preserve"> </v>
      </c>
      <c r="I95" s="30" t="str">
        <f>IF(LEN(VLOOKUP($A95,Questions!$B:$AA,26,FALSE))=0,"",VLOOKUP($A95,Questions!$B:$AA,26,FALSE))</f>
        <v xml:space="preserve"> </v>
      </c>
      <c r="J95" s="30" t="str">
        <f>IF(LEN(VLOOKUP($A95,Questions!$B:$AB,27,FALSE))=0,"",VLOOKUP($A95,Questions!$B:$AB,27,FALSE))</f>
        <v xml:space="preserve"> </v>
      </c>
    </row>
    <row r="96" spans="1:11" ht="48" customHeight="1">
      <c r="A96" s="10" t="s">
        <v>223</v>
      </c>
      <c r="B96" s="23" t="str">
        <f>VLOOKUP(A96,'HECVAT - Full | Vendor Response'!A$27:B$284,2,FALSE)</f>
        <v>Do you have documented password/passphrase reset procedures that are currently implemented in the system and/or customer support?</v>
      </c>
      <c r="C96" s="30" t="str">
        <f>IF(LEN(VLOOKUP($A96,Questions!$B:$AA,20,FALSE))=0,"",VLOOKUP($A96,Questions!$B:$AA,20,FALSE))</f>
        <v xml:space="preserve"> </v>
      </c>
      <c r="D96" s="32" t="str">
        <f>IF(LEN(VLOOKUP($A96,Questions!$B:$AA,21,FALSE))=0,"",VLOOKUP($A96,Questions!$B:$AA,21,FALSE))</f>
        <v xml:space="preserve"> </v>
      </c>
      <c r="E96" s="30" t="str">
        <f>IF(LEN(VLOOKUP($A96,Questions!$B:$AA,22,FALSE))=0,"",VLOOKUP($A96,Questions!$B:$AA,22,FALSE))</f>
        <v xml:space="preserve"> </v>
      </c>
      <c r="F96" s="31" t="str">
        <f>IF(LEN(VLOOKUP($A96,Questions!$B:$AA,23,FALSE))=0,"",VLOOKUP($A96,Questions!$B:$AA,23,FALSE))</f>
        <v xml:space="preserve"> </v>
      </c>
      <c r="G96" s="31" t="str">
        <f>IF(LEN(VLOOKUP($A96,Questions!$B:$AA,24,FALSE))=0,"",VLOOKUP($A96,Questions!$B:$AA,24,FALSE))</f>
        <v xml:space="preserve"> </v>
      </c>
      <c r="H96" s="31" t="str">
        <f>IF(LEN(VLOOKUP($A96,Questions!$B:$AA,25,FALSE))=0,"",VLOOKUP($A96,Questions!$B:$AA,25,FALSE))</f>
        <v xml:space="preserve"> </v>
      </c>
      <c r="I96" s="30" t="str">
        <f>IF(LEN(VLOOKUP($A96,Questions!$B:$AA,26,FALSE))=0,"",VLOOKUP($A96,Questions!$B:$AA,26,FALSE))</f>
        <v xml:space="preserve"> </v>
      </c>
      <c r="J96" s="30" t="str">
        <f>IF(LEN(VLOOKUP($A96,Questions!$B:$AB,27,FALSE))=0,"",VLOOKUP($A96,Questions!$B:$AB,27,FALSE))</f>
        <v xml:space="preserve"> </v>
      </c>
    </row>
    <row r="97" spans="1:11" ht="36" customHeight="1">
      <c r="A97" s="10" t="s">
        <v>225</v>
      </c>
      <c r="B97" s="23" t="str">
        <f>VLOOKUP(A97,'HECVAT - Full | Vendor Response'!A$27:B$284,2,FALSE)</f>
        <v>Does your organization participate in InCommon or another eduGAIN-affiliated trust federation?</v>
      </c>
      <c r="C97" s="30" t="str">
        <f>IF(LEN(VLOOKUP($A97,Questions!$B:$AA,20,FALSE))=0,"",VLOOKUP($A97,Questions!$B:$AA,20,FALSE))</f>
        <v xml:space="preserve"> </v>
      </c>
      <c r="D97" s="32" t="str">
        <f>IF(LEN(VLOOKUP($A97,Questions!$B:$AA,21,FALSE))=0,"",VLOOKUP($A97,Questions!$B:$AA,21,FALSE))</f>
        <v xml:space="preserve"> </v>
      </c>
      <c r="E97" s="30" t="str">
        <f>IF(LEN(VLOOKUP($A97,Questions!$B:$AA,22,FALSE))=0,"",VLOOKUP($A97,Questions!$B:$AA,22,FALSE))</f>
        <v xml:space="preserve"> </v>
      </c>
      <c r="F97" s="30" t="str">
        <f>IF(LEN(VLOOKUP($A97,Questions!$B:$AA,23,FALSE))=0,"",VLOOKUP($A97,Questions!$B:$AA,23,FALSE))</f>
        <v xml:space="preserve"> </v>
      </c>
      <c r="G97" s="31" t="str">
        <f>IF(LEN(VLOOKUP($A97,Questions!$B:$AA,24,FALSE))=0,"",VLOOKUP($A97,Questions!$B:$AA,24,FALSE))</f>
        <v xml:space="preserve"> </v>
      </c>
      <c r="H97" s="31" t="str">
        <f>IF(LEN(VLOOKUP($A97,Questions!$B:$AA,25,FALSE))=0,"",VLOOKUP($A97,Questions!$B:$AA,25,FALSE))</f>
        <v xml:space="preserve"> </v>
      </c>
      <c r="I97" s="30" t="str">
        <f>IF(LEN(VLOOKUP($A97,Questions!$B:$AA,26,FALSE))=0,"",VLOOKUP($A97,Questions!$B:$AA,26,FALSE))</f>
        <v xml:space="preserve"> </v>
      </c>
      <c r="J97" s="30" t="str">
        <f>IF(LEN(VLOOKUP($A97,Questions!$B:$AB,27,FALSE))=0,"",VLOOKUP($A97,Questions!$B:$AB,27,FALSE))</f>
        <v xml:space="preserve"> </v>
      </c>
    </row>
    <row r="98" spans="1:11" ht="36" customHeight="1">
      <c r="A98" s="10" t="s">
        <v>226</v>
      </c>
      <c r="B98" s="23" t="str">
        <f>VLOOKUP(A98,'HECVAT - Full | Vendor Response'!A$27:B$284,2,FALSE)</f>
        <v>Does your application support integration with other authentication and authorization systems?</v>
      </c>
      <c r="C98" s="30" t="str">
        <f>IF(LEN(VLOOKUP($A98,Questions!$B:$AA,20,FALSE))=0,"",VLOOKUP($A98,Questions!$B:$AA,20,FALSE))</f>
        <v xml:space="preserve"> </v>
      </c>
      <c r="D98" s="32" t="str">
        <f>IF(LEN(VLOOKUP($A98,Questions!$B:$AA,21,FALSE))=0,"",VLOOKUP($A98,Questions!$B:$AA,21,FALSE))</f>
        <v xml:space="preserve"> </v>
      </c>
      <c r="E98" s="30" t="str">
        <f>IF(LEN(VLOOKUP($A98,Questions!$B:$AA,22,FALSE))=0,"",VLOOKUP($A98,Questions!$B:$AA,22,FALSE))</f>
        <v xml:space="preserve"> </v>
      </c>
      <c r="F98" s="30" t="str">
        <f>IF(LEN(VLOOKUP($A98,Questions!$B:$AA,23,FALSE))=0,"",VLOOKUP($A98,Questions!$B:$AA,23,FALSE))</f>
        <v xml:space="preserve"> </v>
      </c>
      <c r="G98" s="30" t="str">
        <f>IF(LEN(VLOOKUP($A98,Questions!$B:$AA,24,FALSE))=0,"",VLOOKUP($A98,Questions!$B:$AA,24,FALSE))</f>
        <v xml:space="preserve"> </v>
      </c>
      <c r="H98" s="30" t="str">
        <f>IF(LEN(VLOOKUP($A98,Questions!$B:$AA,25,FALSE))=0,"",VLOOKUP($A98,Questions!$B:$AA,25,FALSE))</f>
        <v xml:space="preserve"> </v>
      </c>
      <c r="I98" s="30" t="str">
        <f>IF(LEN(VLOOKUP($A98,Questions!$B:$AA,26,FALSE))=0,"",VLOOKUP($A98,Questions!$B:$AA,26,FALSE))</f>
        <v xml:space="preserve"> </v>
      </c>
      <c r="J98" s="30" t="str">
        <f>IF(LEN(VLOOKUP($A98,Questions!$B:$AB,27,FALSE))=0,"",VLOOKUP($A98,Questions!$B:$AB,27,FALSE))</f>
        <v xml:space="preserve"> </v>
      </c>
    </row>
    <row r="99" spans="1:11" ht="47.25" customHeight="1">
      <c r="A99" s="10" t="s">
        <v>228</v>
      </c>
      <c r="B99" s="23" t="str">
        <f>VLOOKUP(A99,'HECVAT - Full | Vendor Response'!A$27:B$284,2,FALSE)</f>
        <v>Does your solution support any of the following web SSO standards? [e.g., SAML2 (with redirect flow), OIDC, CAS, or other]</v>
      </c>
      <c r="C99" s="30" t="str">
        <f>IF(LEN(VLOOKUP($A99,Questions!$B:$AA,20,FALSE))=0,"",VLOOKUP($A99,Questions!$B:$AA,20,FALSE))</f>
        <v xml:space="preserve"> </v>
      </c>
      <c r="D99" s="32" t="str">
        <f>IF(LEN(VLOOKUP($A99,Questions!$B:$AA,21,FALSE))=0,"",VLOOKUP($A99,Questions!$B:$AA,21,FALSE))</f>
        <v xml:space="preserve"> </v>
      </c>
      <c r="E99" s="30" t="str">
        <f>IF(LEN(VLOOKUP($A99,Questions!$B:$AA,22,FALSE))=0,"",VLOOKUP($A99,Questions!$B:$AA,22,FALSE))</f>
        <v xml:space="preserve"> </v>
      </c>
      <c r="F99" s="30" t="str">
        <f>IF(LEN(VLOOKUP($A99,Questions!$B:$AA,23,FALSE))=0,"",VLOOKUP($A99,Questions!$B:$AA,23,FALSE))</f>
        <v xml:space="preserve"> </v>
      </c>
      <c r="G99" s="30" t="str">
        <f>IF(LEN(VLOOKUP($A99,Questions!$B:$AA,24,FALSE))=0,"",VLOOKUP($A99,Questions!$B:$AA,24,FALSE))</f>
        <v xml:space="preserve"> </v>
      </c>
      <c r="H99" s="30" t="str">
        <f>IF(LEN(VLOOKUP($A99,Questions!$B:$AA,25,FALSE))=0,"",VLOOKUP($A99,Questions!$B:$AA,25,FALSE))</f>
        <v xml:space="preserve"> </v>
      </c>
      <c r="I99" s="30" t="str">
        <f>IF(LEN(VLOOKUP($A99,Questions!$B:$AA,26,FALSE))=0,"",VLOOKUP($A99,Questions!$B:$AA,26,FALSE))</f>
        <v xml:space="preserve"> </v>
      </c>
      <c r="J99" s="30" t="str">
        <f>IF(LEN(VLOOKUP($A99,Questions!$B:$AB,27,FALSE))=0,"",VLOOKUP($A99,Questions!$B:$AB,27,FALSE))</f>
        <v xml:space="preserve"> </v>
      </c>
    </row>
    <row r="100" spans="1:11" ht="53.25" customHeight="1">
      <c r="A100" s="10" t="s">
        <v>230</v>
      </c>
      <c r="B100" s="23" t="str">
        <f>VLOOKUP(A100,'HECVAT - Full | Vendor Response'!A$27:B$284,2,FALSE)</f>
        <v>Do you support differentiation between email address and user identifier?</v>
      </c>
      <c r="C100" s="30" t="str">
        <f>IF(LEN(VLOOKUP($A100,Questions!$B:$AA,20,FALSE))=0,"",VLOOKUP($A100,Questions!$B:$AA,20,FALSE))</f>
        <v xml:space="preserve"> </v>
      </c>
      <c r="D100" s="32" t="str">
        <f>IF(LEN(VLOOKUP($A100,Questions!$B:$AA,21,FALSE))=0,"",VLOOKUP($A100,Questions!$B:$AA,21,FALSE))</f>
        <v xml:space="preserve"> </v>
      </c>
      <c r="E100" s="30" t="str">
        <f>IF(LEN(VLOOKUP($A100,Questions!$B:$AA,22,FALSE))=0,"",VLOOKUP($A100,Questions!$B:$AA,22,FALSE))</f>
        <v xml:space="preserve"> </v>
      </c>
      <c r="F100" s="30" t="str">
        <f>IF(LEN(VLOOKUP($A100,Questions!$B:$AA,23,FALSE))=0,"",VLOOKUP($A100,Questions!$B:$AA,23,FALSE))</f>
        <v xml:space="preserve"> </v>
      </c>
      <c r="G100" s="31" t="str">
        <f>IF(LEN(VLOOKUP($A100,Questions!$B:$AA,24,FALSE))=0,"",VLOOKUP($A100,Questions!$B:$AA,24,FALSE))</f>
        <v xml:space="preserve"> </v>
      </c>
      <c r="H100" s="31" t="str">
        <f>IF(LEN(VLOOKUP($A100,Questions!$B:$AA,25,FALSE))=0,"",VLOOKUP($A100,Questions!$B:$AA,25,FALSE))</f>
        <v xml:space="preserve"> </v>
      </c>
      <c r="I100" s="31" t="str">
        <f>IF(LEN(VLOOKUP($A100,Questions!$B:$AA,26,FALSE))=0,"",VLOOKUP($A100,Questions!$B:$AA,26,FALSE))</f>
        <v xml:space="preserve"> </v>
      </c>
      <c r="J100" s="31" t="str">
        <f>IF(LEN(VLOOKUP($A100,Questions!$B:$AB,27,FALSE))=0,"",VLOOKUP($A100,Questions!$B:$AB,27,FALSE))</f>
        <v xml:space="preserve"> </v>
      </c>
    </row>
    <row r="101" spans="1:11" ht="47.25" customHeight="1">
      <c r="A101" s="10" t="s">
        <v>232</v>
      </c>
      <c r="B101" s="23" t="str">
        <f>VLOOKUP(A101,'HECVAT - Full | Vendor Response'!A$27:B$284,2,FALSE)</f>
        <v>Do you allow the customer to specify attribute mappings for any needed information beyond a user identifier? (e.g., Reference eduPerson, ePPA/ePPN/ePE)</v>
      </c>
      <c r="C101" s="30" t="str">
        <f>IF(LEN(VLOOKUP($A101,Questions!$B:$AA,20,FALSE))=0,"",VLOOKUP($A101,Questions!$B:$AA,20,FALSE))</f>
        <v xml:space="preserve"> </v>
      </c>
      <c r="D101" s="32" t="str">
        <f>IF(LEN(VLOOKUP($A101,Questions!$B:$AA,21,FALSE))=0,"",VLOOKUP($A101,Questions!$B:$AA,21,FALSE))</f>
        <v xml:space="preserve"> </v>
      </c>
      <c r="E101" s="30" t="str">
        <f>IF(LEN(VLOOKUP($A101,Questions!$B:$AA,22,FALSE))=0,"",VLOOKUP($A101,Questions!$B:$AA,22,FALSE))</f>
        <v xml:space="preserve"> </v>
      </c>
      <c r="F101" s="30" t="str">
        <f>IF(LEN(VLOOKUP($A101,Questions!$B:$AA,23,FALSE))=0,"",VLOOKUP($A101,Questions!$B:$AA,23,FALSE))</f>
        <v xml:space="preserve"> </v>
      </c>
      <c r="G101" s="31" t="str">
        <f>IF(LEN(VLOOKUP($A101,Questions!$B:$AA,24,FALSE))=0,"",VLOOKUP($A101,Questions!$B:$AA,24,FALSE))</f>
        <v xml:space="preserve"> </v>
      </c>
      <c r="H101" s="31" t="str">
        <f>IF(LEN(VLOOKUP($A101,Questions!$B:$AA,25,FALSE))=0,"",VLOOKUP($A101,Questions!$B:$AA,25,FALSE))</f>
        <v xml:space="preserve"> </v>
      </c>
      <c r="I101" s="30" t="str">
        <f>IF(LEN(VLOOKUP($A101,Questions!$B:$AA,26,FALSE))=0,"",VLOOKUP($A101,Questions!$B:$AA,26,FALSE))</f>
        <v xml:space="preserve"> </v>
      </c>
      <c r="J101" s="30" t="str">
        <f>IF(LEN(VLOOKUP($A101,Questions!$B:$AB,27,FALSE))=0,"",VLOOKUP($A101,Questions!$B:$AB,27,FALSE))</f>
        <v xml:space="preserve"> </v>
      </c>
    </row>
    <row r="102" spans="1:11" ht="54" customHeight="1">
      <c r="A102" s="10" t="s">
        <v>233</v>
      </c>
      <c r="B102" s="23" t="str">
        <f>VLOOKUP(A102,'HECVAT - Full | Vendor Response'!A$27:B$284,2,FALSE)</f>
        <v>If you don't support SSO, does your application and/or user-frontend/portal support multi-factor authentication? (e.g., Duo, Google Authenticator, OTP, etc.)</v>
      </c>
      <c r="C102" s="30" t="str">
        <f>IF(LEN(VLOOKUP($A102,Questions!$B:$AA,20,FALSE))=0,"",VLOOKUP($A102,Questions!$B:$AA,20,FALSE))</f>
        <v xml:space="preserve"> </v>
      </c>
      <c r="D102" s="32" t="str">
        <f>IF(LEN(VLOOKUP($A102,Questions!$B:$AA,21,FALSE))=0,"",VLOOKUP($A102,Questions!$B:$AA,21,FALSE))</f>
        <v xml:space="preserve"> </v>
      </c>
      <c r="E102" s="30" t="str">
        <f>IF(LEN(VLOOKUP($A102,Questions!$B:$AA,22,FALSE))=0,"",VLOOKUP($A102,Questions!$B:$AA,22,FALSE))</f>
        <v xml:space="preserve"> </v>
      </c>
      <c r="F102" s="30" t="str">
        <f>IF(LEN(VLOOKUP($A102,Questions!$B:$AA,23,FALSE))=0,"",VLOOKUP($A102,Questions!$B:$AA,23,FALSE))</f>
        <v xml:space="preserve"> </v>
      </c>
      <c r="G102" s="31" t="str">
        <f>IF(LEN(VLOOKUP($A102,Questions!$B:$AA,24,FALSE))=0,"",VLOOKUP($A102,Questions!$B:$AA,24,FALSE))</f>
        <v xml:space="preserve"> </v>
      </c>
      <c r="H102" s="31" t="str">
        <f>IF(LEN(VLOOKUP($A102,Questions!$B:$AA,25,FALSE))=0,"",VLOOKUP($A102,Questions!$B:$AA,25,FALSE))</f>
        <v xml:space="preserve"> </v>
      </c>
      <c r="I102" s="31" t="str">
        <f>IF(LEN(VLOOKUP($A102,Questions!$B:$AA,26,FALSE))=0,"",VLOOKUP($A102,Questions!$B:$AA,26,FALSE))</f>
        <v xml:space="preserve"> </v>
      </c>
      <c r="J102" s="31" t="str">
        <f>IF(LEN(VLOOKUP($A102,Questions!$B:$AB,27,FALSE))=0,"",VLOOKUP($A102,Questions!$B:$AB,27,FALSE))</f>
        <v xml:space="preserve"> </v>
      </c>
    </row>
    <row r="103" spans="1:11" ht="54" customHeight="1">
      <c r="A103" s="10" t="s">
        <v>234</v>
      </c>
      <c r="B103" s="23" t="str">
        <f>VLOOKUP(A103,'HECVAT - Full | Vendor Response'!A$27:B$284,2,FALSE)</f>
        <v>Does your application automatically lock the session or log-out an account after a period of inactivity?</v>
      </c>
      <c r="C103" s="30" t="str">
        <f>IF(LEN(VLOOKUP($A103,Questions!$B:$AA,20,FALSE))=0,"",VLOOKUP($A103,Questions!$B:$AA,20,FALSE))</f>
        <v xml:space="preserve"> </v>
      </c>
      <c r="D103" s="32" t="str">
        <f>IF(LEN(VLOOKUP($A103,Questions!$B:$AA,21,FALSE))=0,"",VLOOKUP($A103,Questions!$B:$AA,21,FALSE))</f>
        <v xml:space="preserve"> </v>
      </c>
      <c r="E103" s="31" t="str">
        <f>IF(LEN(VLOOKUP($A103,Questions!$B:$AA,22,FALSE))=0,"",VLOOKUP($A103,Questions!$B:$AA,22,FALSE))</f>
        <v xml:space="preserve"> </v>
      </c>
      <c r="F103" s="30" t="str">
        <f>IF(LEN(VLOOKUP($A103,Questions!$B:$AA,23,FALSE))=0,"",VLOOKUP($A103,Questions!$B:$AA,23,FALSE))</f>
        <v xml:space="preserve"> </v>
      </c>
      <c r="G103" s="31" t="str">
        <f>IF(LEN(VLOOKUP($A103,Questions!$B:$AA,24,FALSE))=0,"",VLOOKUP($A103,Questions!$B:$AA,24,FALSE))</f>
        <v xml:space="preserve"> </v>
      </c>
      <c r="H103" s="31" t="str">
        <f>IF(LEN(VLOOKUP($A103,Questions!$B:$AA,25,FALSE))=0,"",VLOOKUP($A103,Questions!$B:$AA,25,FALSE))</f>
        <v xml:space="preserve"> </v>
      </c>
      <c r="I103" s="31" t="str">
        <f>IF(LEN(VLOOKUP($A103,Questions!$B:$AA,26,FALSE))=0,"",VLOOKUP($A103,Questions!$B:$AA,26,FALSE))</f>
        <v xml:space="preserve"> </v>
      </c>
      <c r="J103" s="31" t="str">
        <f>IF(LEN(VLOOKUP($A103,Questions!$B:$AB,27,FALSE))=0,"",VLOOKUP($A103,Questions!$B:$AB,27,FALSE))</f>
        <v xml:space="preserve"> </v>
      </c>
    </row>
    <row r="104" spans="1:11" ht="47.25" customHeight="1">
      <c r="A104" s="10" t="s">
        <v>236</v>
      </c>
      <c r="B104" s="23" t="str">
        <f>VLOOKUP(A104,'HECVAT - Full | Vendor Response'!A$27:B$284,2,FALSE)</f>
        <v>Are there any passwords/passphrases hard-coded into your systems or products?</v>
      </c>
      <c r="C104" s="30" t="str">
        <f>IF(LEN(VLOOKUP($A104,Questions!$B:$AA,20,FALSE))=0,"",VLOOKUP($A104,Questions!$B:$AA,20,FALSE))</f>
        <v xml:space="preserve"> </v>
      </c>
      <c r="D104" s="32" t="str">
        <f>IF(LEN(VLOOKUP($A104,Questions!$B:$AA,21,FALSE))=0,"",VLOOKUP($A104,Questions!$B:$AA,21,FALSE))</f>
        <v xml:space="preserve"> </v>
      </c>
      <c r="E104" s="31" t="str">
        <f>IF(LEN(VLOOKUP($A104,Questions!$B:$AA,22,FALSE))=0,"",VLOOKUP($A104,Questions!$B:$AA,22,FALSE))</f>
        <v xml:space="preserve"> </v>
      </c>
      <c r="F104" s="30" t="str">
        <f>IF(LEN(VLOOKUP($A104,Questions!$B:$AA,23,FALSE))=0,"",VLOOKUP($A104,Questions!$B:$AA,23,FALSE))</f>
        <v xml:space="preserve"> </v>
      </c>
      <c r="G104" s="30" t="str">
        <f>IF(LEN(VLOOKUP($A104,Questions!$B:$AA,24,FALSE))=0,"",VLOOKUP($A104,Questions!$B:$AA,24,FALSE))</f>
        <v xml:space="preserve"> </v>
      </c>
      <c r="H104" s="31" t="str">
        <f>IF(LEN(VLOOKUP($A104,Questions!$B:$AA,25,FALSE))=0,"",VLOOKUP($A104,Questions!$B:$AA,25,FALSE))</f>
        <v xml:space="preserve"> </v>
      </c>
      <c r="I104" s="30" t="str">
        <f>IF(LEN(VLOOKUP($A104,Questions!$B:$AA,26,FALSE))=0,"",VLOOKUP($A104,Questions!$B:$AA,26,FALSE))</f>
        <v xml:space="preserve"> </v>
      </c>
      <c r="J104" s="30" t="str">
        <f>IF(LEN(VLOOKUP($A104,Questions!$B:$AB,27,FALSE))=0,"",VLOOKUP($A104,Questions!$B:$AB,27,FALSE))</f>
        <v xml:space="preserve"> </v>
      </c>
    </row>
    <row r="105" spans="1:11" ht="48" customHeight="1">
      <c r="A105" s="10" t="s">
        <v>237</v>
      </c>
      <c r="B105" s="23" t="str">
        <f>VLOOKUP(A105,'HECVAT - Full | Vendor Response'!A$27:B$284,2,FALSE)</f>
        <v>Are you storing any passwords in plaintext?</v>
      </c>
      <c r="C105" s="30" t="str">
        <f>IF(LEN(VLOOKUP($A105,Questions!$B:$AA,20,FALSE))=0,"",VLOOKUP($A105,Questions!$B:$AA,20,FALSE))</f>
        <v xml:space="preserve"> </v>
      </c>
      <c r="D105" s="32" t="str">
        <f>IF(LEN(VLOOKUP($A105,Questions!$B:$AA,21,FALSE))=0,"",VLOOKUP($A105,Questions!$B:$AA,21,FALSE))</f>
        <v xml:space="preserve"> </v>
      </c>
      <c r="E105" s="30" t="str">
        <f>IF(LEN(VLOOKUP($A105,Questions!$B:$AA,22,FALSE))=0,"",VLOOKUP($A105,Questions!$B:$AA,22,FALSE))</f>
        <v xml:space="preserve"> </v>
      </c>
      <c r="F105" s="30" t="str">
        <f>IF(LEN(VLOOKUP($A105,Questions!$B:$AA,23,FALSE))=0,"",VLOOKUP($A105,Questions!$B:$AA,23,FALSE))</f>
        <v xml:space="preserve"> </v>
      </c>
      <c r="G105" s="30" t="str">
        <f>IF(LEN(VLOOKUP($A105,Questions!$B:$AA,24,FALSE))=0,"",VLOOKUP($A105,Questions!$B:$AA,24,FALSE))</f>
        <v xml:space="preserve"> </v>
      </c>
      <c r="H105" s="30" t="str">
        <f>IF(LEN(VLOOKUP($A105,Questions!$B:$AA,25,FALSE))=0,"",VLOOKUP($A105,Questions!$B:$AA,25,FALSE))</f>
        <v xml:space="preserve"> </v>
      </c>
      <c r="I105" s="30" t="str">
        <f>IF(LEN(VLOOKUP($A105,Questions!$B:$AA,26,FALSE))=0,"",VLOOKUP($A105,Questions!$B:$AA,26,FALSE))</f>
        <v xml:space="preserve"> </v>
      </c>
      <c r="J105" s="30" t="str">
        <f>IF(LEN(VLOOKUP($A105,Questions!$B:$AB,27,FALSE))=0,"",VLOOKUP($A105,Questions!$B:$AB,27,FALSE))</f>
        <v xml:space="preserve"> </v>
      </c>
    </row>
    <row r="106" spans="1:11" ht="84" customHeight="1">
      <c r="A106" s="10" t="s">
        <v>238</v>
      </c>
      <c r="B106" s="23" t="str">
        <f>VLOOKUP(A106,'HECVAT - Full | Vendor Response'!A$27:B$284,2,FALSE)</f>
        <v>Does your application support directory integration for user accounts?</v>
      </c>
      <c r="C106" s="30" t="str">
        <f>IF(LEN(VLOOKUP($A106,Questions!$B:$AA,20,FALSE))=0,"",VLOOKUP($A106,Questions!$B:$AA,20,FALSE))</f>
        <v xml:space="preserve"> </v>
      </c>
      <c r="D106" s="32" t="str">
        <f>IF(LEN(VLOOKUP($A106,Questions!$B:$AA,21,FALSE))=0,"",VLOOKUP($A106,Questions!$B:$AA,21,FALSE))</f>
        <v xml:space="preserve"> </v>
      </c>
      <c r="E106" s="30" t="str">
        <f>IF(LEN(VLOOKUP($A106,Questions!$B:$AA,22,FALSE))=0,"",VLOOKUP($A106,Questions!$B:$AA,22,FALSE))</f>
        <v xml:space="preserve"> </v>
      </c>
      <c r="F106" s="30" t="str">
        <f>IF(LEN(VLOOKUP($A106,Questions!$B:$AA,23,FALSE))=0,"",VLOOKUP($A106,Questions!$B:$AA,23,FALSE))</f>
        <v xml:space="preserve"> </v>
      </c>
      <c r="G106" s="30" t="str">
        <f>IF(LEN(VLOOKUP($A106,Questions!$B:$AA,24,FALSE))=0,"",VLOOKUP($A106,Questions!$B:$AA,24,FALSE))</f>
        <v xml:space="preserve"> </v>
      </c>
      <c r="H106" s="30" t="str">
        <f>IF(LEN(VLOOKUP($A106,Questions!$B:$AA,25,FALSE))=0,"",VLOOKUP($A106,Questions!$B:$AA,25,FALSE))</f>
        <v xml:space="preserve"> </v>
      </c>
      <c r="I106" s="30" t="str">
        <f>IF(LEN(VLOOKUP($A106,Questions!$B:$AA,26,FALSE))=0,"",VLOOKUP($A106,Questions!$B:$AA,26,FALSE))</f>
        <v xml:space="preserve"> </v>
      </c>
      <c r="J106" s="30" t="str">
        <f>IF(LEN(VLOOKUP($A106,Questions!$B:$AB,27,FALSE))=0,"",VLOOKUP($A106,Questions!$B:$AB,27,FALSE))</f>
        <v xml:space="preserve"> </v>
      </c>
    </row>
    <row r="107" spans="1:11" ht="84" customHeight="1">
      <c r="A107" s="10" t="s">
        <v>240</v>
      </c>
      <c r="B107" s="23" t="str">
        <f>VLOOKUP(A107,'HECVAT - Full | Vendor Response'!A$27:B$284,2,FALSE)</f>
        <v>Are audit logs available that include AT LEAST all of the following: login, logout, actions performed, and source IP address?</v>
      </c>
      <c r="C107" s="30" t="str">
        <f>IF(LEN(VLOOKUP($A107,Questions!$B:$AA,20,FALSE))=0,"",VLOOKUP($A107,Questions!$B:$AA,20,FALSE))</f>
        <v xml:space="preserve"> </v>
      </c>
      <c r="D107" s="32" t="str">
        <f>IF(LEN(VLOOKUP($A107,Questions!$B:$AA,21,FALSE))=0,"",VLOOKUP($A107,Questions!$B:$AA,21,FALSE))</f>
        <v xml:space="preserve"> </v>
      </c>
      <c r="E107" s="30" t="str">
        <f>IF(LEN(VLOOKUP($A107,Questions!$B:$AA,22,FALSE))=0,"",VLOOKUP($A107,Questions!$B:$AA,22,FALSE))</f>
        <v xml:space="preserve"> </v>
      </c>
      <c r="F107" s="30" t="str">
        <f>IF(LEN(VLOOKUP($A107,Questions!$B:$AA,23,FALSE))=0,"",VLOOKUP($A107,Questions!$B:$AA,23,FALSE))</f>
        <v xml:space="preserve"> </v>
      </c>
      <c r="G107" s="30" t="str">
        <f>IF(LEN(VLOOKUP($A107,Questions!$B:$AA,24,FALSE))=0,"",VLOOKUP($A107,Questions!$B:$AA,24,FALSE))</f>
        <v xml:space="preserve"> </v>
      </c>
      <c r="H107" s="30" t="str">
        <f>IF(LEN(VLOOKUP($A107,Questions!$B:$AA,25,FALSE))=0,"",VLOOKUP($A107,Questions!$B:$AA,25,FALSE))</f>
        <v xml:space="preserve"> </v>
      </c>
      <c r="I107" s="30" t="str">
        <f>IF(LEN(VLOOKUP($A107,Questions!$B:$AA,26,FALSE))=0,"",VLOOKUP($A107,Questions!$B:$AA,26,FALSE))</f>
        <v xml:space="preserve"> </v>
      </c>
      <c r="J107" s="30" t="str">
        <f>IF(LEN(VLOOKUP($A107,Questions!$B:$AB,27,FALSE))=0,"",VLOOKUP($A107,Questions!$B:$AB,27,FALSE))</f>
        <v xml:space="preserve"> </v>
      </c>
    </row>
    <row r="108" spans="1:11" ht="84" customHeight="1">
      <c r="A108" s="10" t="s">
        <v>241</v>
      </c>
      <c r="B108" s="23" t="str">
        <f>VLOOKUP(A108,'HECVAT - Full | Vendor Response'!A$27:B$284,2,FALSE)</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8" s="30" t="str">
        <f>IF(LEN(VLOOKUP($A108,Questions!$B:$AA,20,FALSE))=0,"",VLOOKUP($A108,Questions!$B:$AA,20,FALSE))</f>
        <v xml:space="preserve"> </v>
      </c>
      <c r="D108" s="32" t="str">
        <f>IF(LEN(VLOOKUP($A108,Questions!$B:$AA,21,FALSE))=0,"",VLOOKUP($A108,Questions!$B:$AA,21,FALSE))</f>
        <v xml:space="preserve"> </v>
      </c>
      <c r="E108" s="30" t="str">
        <f>IF(LEN(VLOOKUP($A108,Questions!$B:$AA,22,FALSE))=0,"",VLOOKUP($A108,Questions!$B:$AA,22,FALSE))</f>
        <v xml:space="preserve"> </v>
      </c>
      <c r="F108" s="30" t="str">
        <f>IF(LEN(VLOOKUP($A108,Questions!$B:$AA,23,FALSE))=0,"",VLOOKUP($A108,Questions!$B:$AA,23,FALSE))</f>
        <v xml:space="preserve"> </v>
      </c>
      <c r="G108" s="30" t="str">
        <f>IF(LEN(VLOOKUP($A108,Questions!$B:$AA,24,FALSE))=0,"",VLOOKUP($A108,Questions!$B:$AA,24,FALSE))</f>
        <v xml:space="preserve"> </v>
      </c>
      <c r="H108" s="30" t="str">
        <f>IF(LEN(VLOOKUP($A108,Questions!$B:$AA,25,FALSE))=0,"",VLOOKUP($A108,Questions!$B:$AA,25,FALSE))</f>
        <v xml:space="preserve"> </v>
      </c>
      <c r="I108" s="30" t="str">
        <f>IF(LEN(VLOOKUP($A108,Questions!$B:$AA,26,FALSE))=0,"",VLOOKUP($A108,Questions!$B:$AA,26,FALSE))</f>
        <v xml:space="preserve"> </v>
      </c>
      <c r="J108" s="30" t="str">
        <f>IF(LEN(VLOOKUP($A108,Questions!$B:$AB,27,FALSE))=0,"",VLOOKUP($A108,Questions!$B:$AB,27,FALSE))</f>
        <v xml:space="preserve"> </v>
      </c>
    </row>
    <row r="109" spans="1:11" ht="64.5" customHeight="1">
      <c r="A109" s="10" t="s">
        <v>243</v>
      </c>
      <c r="B109" s="23" t="str">
        <f>VLOOKUP(A109,'HECVAT - Full | Vendor Response'!A$27:B$284,2,FALSE)</f>
        <v>Describe or provide a reference to the retention period for those logs, how logs are protected, and whether they are accessible to the customer (and if so, how).</v>
      </c>
      <c r="C109" s="30" t="str">
        <f>IF(LEN(VLOOKUP($A109,Questions!$B:$AA,20,FALSE))=0,"",VLOOKUP($A109,Questions!$B:$AA,20,FALSE))</f>
        <v xml:space="preserve"> </v>
      </c>
      <c r="D109" s="32" t="str">
        <f>IF(LEN(VLOOKUP($A109,Questions!$B:$AA,21,FALSE))=0,"",VLOOKUP($A109,Questions!$B:$AA,21,FALSE))</f>
        <v xml:space="preserve"> </v>
      </c>
      <c r="E109" s="30" t="str">
        <f>IF(LEN(VLOOKUP($A109,Questions!$B:$AA,22,FALSE))=0,"",VLOOKUP($A109,Questions!$B:$AA,22,FALSE))</f>
        <v xml:space="preserve"> </v>
      </c>
      <c r="F109" s="30" t="str">
        <f>IF(LEN(VLOOKUP($A109,Questions!$B:$AA,23,FALSE))=0,"",VLOOKUP($A109,Questions!$B:$AA,23,FALSE))</f>
        <v xml:space="preserve"> </v>
      </c>
      <c r="G109" s="30" t="str">
        <f>IF(LEN(VLOOKUP($A109,Questions!$B:$AA,24,FALSE))=0,"",VLOOKUP($A109,Questions!$B:$AA,24,FALSE))</f>
        <v xml:space="preserve"> </v>
      </c>
      <c r="H109" s="30" t="str">
        <f>IF(LEN(VLOOKUP($A109,Questions!$B:$AA,25,FALSE))=0,"",VLOOKUP($A109,Questions!$B:$AA,25,FALSE))</f>
        <v xml:space="preserve"> </v>
      </c>
      <c r="I109" s="30" t="str">
        <f>IF(LEN(VLOOKUP($A109,Questions!$B:$AA,26,FALSE))=0,"",VLOOKUP($A109,Questions!$B:$AA,26,FALSE))</f>
        <v xml:space="preserve"> </v>
      </c>
      <c r="J109" s="30" t="str">
        <f>IF(LEN(VLOOKUP($A109,Questions!$B:$AB,27,FALSE))=0,"",VLOOKUP($A109,Questions!$B:$AB,27,FALSE))</f>
        <v xml:space="preserve"> </v>
      </c>
      <c r="K109" s="238" t="s">
        <v>3325</v>
      </c>
    </row>
    <row r="110" spans="1:11" s="28" customFormat="1" ht="36" customHeight="1">
      <c r="A110" s="283" t="str">
        <f>IF(OR($C$28="No",$C$31="Yes"),"BCP - Optional based on QUALIFIER response.","Business Continuity Plan")</f>
        <v>Business Continuity Plan</v>
      </c>
      <c r="B110" s="283"/>
      <c r="C110" s="18" t="str">
        <f>C$23</f>
        <v>CIS Critical Security Controls v6.1</v>
      </c>
      <c r="D110" s="18" t="str">
        <f t="shared" ref="D110:J110" si="7">D$23</f>
        <v>HIPAA</v>
      </c>
      <c r="E110" s="18" t="str">
        <f t="shared" si="7"/>
        <v>ISO 27002:27013</v>
      </c>
      <c r="F110" s="18" t="str">
        <f t="shared" si="7"/>
        <v>NIST Cybersecurity Framework</v>
      </c>
      <c r="G110" s="18" t="str">
        <f t="shared" si="7"/>
        <v>NIST SP 800-171r2</v>
      </c>
      <c r="H110" s="18" t="str">
        <f t="shared" si="7"/>
        <v>NIST SP 800-53r4</v>
      </c>
      <c r="I110" s="18" t="str">
        <f t="shared" si="7"/>
        <v>PCI DSS</v>
      </c>
      <c r="J110" s="18" t="str">
        <f t="shared" si="7"/>
        <v>Trusted CI</v>
      </c>
      <c r="K110" s="27"/>
    </row>
    <row r="111" spans="1:11" ht="48" customHeight="1">
      <c r="A111" s="10" t="s">
        <v>245</v>
      </c>
      <c r="B111" s="23" t="str">
        <f>VLOOKUP(A111,'HECVAT - Full | Vendor Response'!A$27:B$284,2,FALSE)</f>
        <v>Is an owner assigned who is responsible for the maintenance and review of the Business Continuity Plan?</v>
      </c>
      <c r="C111" s="30" t="str">
        <f>IF(LEN(VLOOKUP($A111,Questions!$B:$AA,20,FALSE))=0,"",VLOOKUP($A111,Questions!$B:$AA,20,FALSE))</f>
        <v xml:space="preserve"> </v>
      </c>
      <c r="D111" s="32" t="str">
        <f>IF(LEN(VLOOKUP($A111,Questions!$B:$AA,21,FALSE))=0,"",VLOOKUP($A111,Questions!$B:$AA,21,FALSE))</f>
        <v xml:space="preserve"> </v>
      </c>
      <c r="E111" s="30" t="str">
        <f>IF(LEN(VLOOKUP($A111,Questions!$B:$AA,22,FALSE))=0,"",VLOOKUP($A111,Questions!$B:$AA,22,FALSE))</f>
        <v xml:space="preserve"> </v>
      </c>
      <c r="F111" s="30" t="str">
        <f>IF(LEN(VLOOKUP($A111,Questions!$B:$AA,23,FALSE))=0,"",VLOOKUP($A111,Questions!$B:$AA,23,FALSE))</f>
        <v xml:space="preserve"> </v>
      </c>
      <c r="G111" s="30" t="str">
        <f>IF(LEN(VLOOKUP($A111,Questions!$B:$AA,24,FALSE))=0,"",VLOOKUP($A111,Questions!$B:$AA,24,FALSE))</f>
        <v xml:space="preserve"> </v>
      </c>
      <c r="H111" s="30" t="str">
        <f>IF(LEN(VLOOKUP($A111,Questions!$B:$AA,25,FALSE))=0,"",VLOOKUP($A111,Questions!$B:$AA,25,FALSE))</f>
        <v xml:space="preserve"> </v>
      </c>
      <c r="I111" s="31" t="str">
        <f>IF(LEN(VLOOKUP($A111,Questions!$B:$AA,26,FALSE))=0,"",VLOOKUP($A111,Questions!$B:$AA,26,FALSE))</f>
        <v xml:space="preserve"> </v>
      </c>
      <c r="J111" s="31" t="str">
        <f>IF(LEN(VLOOKUP($A111,Questions!$B:$AB,27,FALSE))=0,"",VLOOKUP($A111,Questions!$B:$AB,27,FALSE))</f>
        <v xml:space="preserve"> </v>
      </c>
    </row>
    <row r="112" spans="1:11" ht="47.25" customHeight="1">
      <c r="A112" s="10" t="s">
        <v>247</v>
      </c>
      <c r="B112" s="23" t="str">
        <f>VLOOKUP(A112,'HECVAT - Full | Vendor Response'!A$27:B$284,2,FALSE)</f>
        <v>Is there a defined problem/issue escalation plan in your BCP for impacted clients?</v>
      </c>
      <c r="C112" s="30" t="str">
        <f>IF(LEN(VLOOKUP($A112,Questions!$B:$AA,20,FALSE))=0,"",VLOOKUP($A112,Questions!$B:$AA,20,FALSE))</f>
        <v xml:space="preserve"> </v>
      </c>
      <c r="D112" s="32" t="str">
        <f>IF(LEN(VLOOKUP($A112,Questions!$B:$AA,21,FALSE))=0,"",VLOOKUP($A112,Questions!$B:$AA,21,FALSE))</f>
        <v xml:space="preserve"> </v>
      </c>
      <c r="E112" s="31" t="str">
        <f>IF(LEN(VLOOKUP($A112,Questions!$B:$AA,22,FALSE))=0,"",VLOOKUP($A112,Questions!$B:$AA,22,FALSE))</f>
        <v xml:space="preserve"> </v>
      </c>
      <c r="F112" s="30" t="str">
        <f>IF(LEN(VLOOKUP($A112,Questions!$B:$AA,23,FALSE))=0,"",VLOOKUP($A112,Questions!$B:$AA,23,FALSE))</f>
        <v xml:space="preserve"> </v>
      </c>
      <c r="G112" s="30" t="str">
        <f>IF(LEN(VLOOKUP($A112,Questions!$B:$AA,24,FALSE))=0,"",VLOOKUP($A112,Questions!$B:$AA,24,FALSE))</f>
        <v xml:space="preserve"> </v>
      </c>
      <c r="H112" s="30" t="str">
        <f>IF(LEN(VLOOKUP($A112,Questions!$B:$AA,25,FALSE))=0,"",VLOOKUP($A112,Questions!$B:$AA,25,FALSE))</f>
        <v xml:space="preserve"> </v>
      </c>
      <c r="I112" s="31" t="str">
        <f>IF(LEN(VLOOKUP($A112,Questions!$B:$AA,26,FALSE))=0,"",VLOOKUP($A112,Questions!$B:$AA,26,FALSE))</f>
        <v xml:space="preserve"> </v>
      </c>
      <c r="J112" s="31" t="str">
        <f>IF(LEN(VLOOKUP($A112,Questions!$B:$AB,27,FALSE))=0,"",VLOOKUP($A112,Questions!$B:$AB,27,FALSE))</f>
        <v xml:space="preserve"> </v>
      </c>
    </row>
    <row r="113" spans="1:11" ht="47.25" customHeight="1">
      <c r="A113" s="10" t="s">
        <v>249</v>
      </c>
      <c r="B113" s="23" t="str">
        <f>VLOOKUP(A113,'HECVAT - Full | Vendor Response'!A$27:B$284,2,FALSE)</f>
        <v>Is there a documented communication plan in your BCP for impacted clients?</v>
      </c>
      <c r="C113" s="30" t="str">
        <f>IF(LEN(VLOOKUP($A113,Questions!$B:$AA,20,FALSE))=0,"",VLOOKUP($A113,Questions!$B:$AA,20,FALSE))</f>
        <v xml:space="preserve"> </v>
      </c>
      <c r="D113" s="32" t="str">
        <f>IF(LEN(VLOOKUP($A113,Questions!$B:$AA,21,FALSE))=0,"",VLOOKUP($A113,Questions!$B:$AA,21,FALSE))</f>
        <v xml:space="preserve"> </v>
      </c>
      <c r="E113" s="30" t="str">
        <f>IF(LEN(VLOOKUP($A113,Questions!$B:$AA,22,FALSE))=0,"",VLOOKUP($A113,Questions!$B:$AA,22,FALSE))</f>
        <v xml:space="preserve"> </v>
      </c>
      <c r="F113" s="30" t="str">
        <f>IF(LEN(VLOOKUP($A113,Questions!$B:$AA,23,FALSE))=0,"",VLOOKUP($A113,Questions!$B:$AA,23,FALSE))</f>
        <v xml:space="preserve"> </v>
      </c>
      <c r="G113" s="30" t="str">
        <f>IF(LEN(VLOOKUP($A113,Questions!$B:$AA,24,FALSE))=0,"",VLOOKUP($A113,Questions!$B:$AA,24,FALSE))</f>
        <v xml:space="preserve"> </v>
      </c>
      <c r="H113" s="30" t="str">
        <f>IF(LEN(VLOOKUP($A113,Questions!$B:$AA,25,FALSE))=0,"",VLOOKUP($A113,Questions!$B:$AA,25,FALSE))</f>
        <v xml:space="preserve"> </v>
      </c>
      <c r="I113" s="31" t="str">
        <f>IF(LEN(VLOOKUP($A113,Questions!$B:$AA,26,FALSE))=0,"",VLOOKUP($A113,Questions!$B:$AA,26,FALSE))</f>
        <v xml:space="preserve"> </v>
      </c>
      <c r="J113" s="31" t="str">
        <f>IF(LEN(VLOOKUP($A113,Questions!$B:$AB,27,FALSE))=0,"",VLOOKUP($A113,Questions!$B:$AB,27,FALSE))</f>
        <v xml:space="preserve"> </v>
      </c>
    </row>
    <row r="114" spans="1:11" ht="47.25" customHeight="1">
      <c r="A114" s="10" t="s">
        <v>251</v>
      </c>
      <c r="B114" s="23" t="str">
        <f>VLOOKUP(A114,'HECVAT - Full | Vendor Response'!A$27:B$284,2,FALSE)</f>
        <v>Are all components of the BCP reviewed at least annually and updated as needed to reflect change?</v>
      </c>
      <c r="C114" s="30" t="str">
        <f>IF(LEN(VLOOKUP($A114,Questions!$B:$AA,20,FALSE))=0,"",VLOOKUP($A114,Questions!$B:$AA,20,FALSE))</f>
        <v xml:space="preserve"> </v>
      </c>
      <c r="D114" s="32" t="str">
        <f>IF(LEN(VLOOKUP($A114,Questions!$B:$AA,21,FALSE))=0,"",VLOOKUP($A114,Questions!$B:$AA,21,FALSE))</f>
        <v xml:space="preserve"> </v>
      </c>
      <c r="E114" s="30" t="str">
        <f>IF(LEN(VLOOKUP($A114,Questions!$B:$AA,22,FALSE))=0,"",VLOOKUP($A114,Questions!$B:$AA,22,FALSE))</f>
        <v xml:space="preserve"> </v>
      </c>
      <c r="F114" s="30" t="str">
        <f>IF(LEN(VLOOKUP($A114,Questions!$B:$AA,23,FALSE))=0,"",VLOOKUP($A114,Questions!$B:$AA,23,FALSE))</f>
        <v xml:space="preserve"> </v>
      </c>
      <c r="G114" s="30" t="str">
        <f>IF(LEN(VLOOKUP($A114,Questions!$B:$AA,24,FALSE))=0,"",VLOOKUP($A114,Questions!$B:$AA,24,FALSE))</f>
        <v xml:space="preserve"> </v>
      </c>
      <c r="H114" s="30" t="str">
        <f>IF(LEN(VLOOKUP($A114,Questions!$B:$AA,25,FALSE))=0,"",VLOOKUP($A114,Questions!$B:$AA,25,FALSE))</f>
        <v xml:space="preserve"> </v>
      </c>
      <c r="I114" s="31" t="str">
        <f>IF(LEN(VLOOKUP($A114,Questions!$B:$AA,26,FALSE))=0,"",VLOOKUP($A114,Questions!$B:$AA,26,FALSE))</f>
        <v xml:space="preserve"> </v>
      </c>
      <c r="J114" s="31" t="str">
        <f>IF(LEN(VLOOKUP($A114,Questions!$B:$AB,27,FALSE))=0,"",VLOOKUP($A114,Questions!$B:$AB,27,FALSE))</f>
        <v xml:space="preserve"> </v>
      </c>
    </row>
    <row r="115" spans="1:11" ht="47.25" customHeight="1">
      <c r="A115" s="10" t="s">
        <v>253</v>
      </c>
      <c r="B115" s="23" t="str">
        <f>VLOOKUP(A115,'HECVAT - Full | Vendor Response'!A$27:B$284,2,FALSE)</f>
        <v>Are specific crisis management roles and responsibilities defined and documented?</v>
      </c>
      <c r="C115" s="30" t="str">
        <f>IF(LEN(VLOOKUP($A115,Questions!$B:$AA,20,FALSE))=0,"",VLOOKUP($A115,Questions!$B:$AA,20,FALSE))</f>
        <v xml:space="preserve"> </v>
      </c>
      <c r="D115" s="32" t="str">
        <f>IF(LEN(VLOOKUP($A115,Questions!$B:$AA,21,FALSE))=0,"",VLOOKUP($A115,Questions!$B:$AA,21,FALSE))</f>
        <v xml:space="preserve"> </v>
      </c>
      <c r="E115" s="30" t="str">
        <f>IF(LEN(VLOOKUP($A115,Questions!$B:$AA,22,FALSE))=0,"",VLOOKUP($A115,Questions!$B:$AA,22,FALSE))</f>
        <v xml:space="preserve"> </v>
      </c>
      <c r="F115" s="30" t="str">
        <f>IF(LEN(VLOOKUP($A115,Questions!$B:$AA,23,FALSE))=0,"",VLOOKUP($A115,Questions!$B:$AA,23,FALSE))</f>
        <v xml:space="preserve"> </v>
      </c>
      <c r="G115" s="30" t="str">
        <f>IF(LEN(VLOOKUP($A115,Questions!$B:$AA,24,FALSE))=0,"",VLOOKUP($A115,Questions!$B:$AA,24,FALSE))</f>
        <v xml:space="preserve"> </v>
      </c>
      <c r="H115" s="30" t="str">
        <f>IF(LEN(VLOOKUP($A115,Questions!$B:$AA,25,FALSE))=0,"",VLOOKUP($A115,Questions!$B:$AA,25,FALSE))</f>
        <v xml:space="preserve"> </v>
      </c>
      <c r="I115" s="31" t="str">
        <f>IF(LEN(VLOOKUP($A115,Questions!$B:$AA,26,FALSE))=0,"",VLOOKUP($A115,Questions!$B:$AA,26,FALSE))</f>
        <v xml:space="preserve"> </v>
      </c>
      <c r="J115" s="31" t="str">
        <f>IF(LEN(VLOOKUP($A115,Questions!$B:$AB,27,FALSE))=0,"",VLOOKUP($A115,Questions!$B:$AB,27,FALSE))</f>
        <v xml:space="preserve"> </v>
      </c>
    </row>
    <row r="116" spans="1:11" ht="48" customHeight="1">
      <c r="A116" s="10" t="s">
        <v>255</v>
      </c>
      <c r="B116" s="23" t="str">
        <f>VLOOKUP(A116,'HECVAT - Full | Vendor Response'!A$27:B$284,2,FALSE)</f>
        <v>Does your organization conduct training and awareness activities to validate its employees' understanding of their roles and responsibilities during a crisis?</v>
      </c>
      <c r="C116" s="30" t="str">
        <f>IF(LEN(VLOOKUP($A116,Questions!$B:$AA,20,FALSE))=0,"",VLOOKUP($A116,Questions!$B:$AA,20,FALSE))</f>
        <v xml:space="preserve"> </v>
      </c>
      <c r="D116" s="32" t="str">
        <f>IF(LEN(VLOOKUP($A116,Questions!$B:$AA,21,FALSE))=0,"",VLOOKUP($A116,Questions!$B:$AA,21,FALSE))</f>
        <v xml:space="preserve"> </v>
      </c>
      <c r="E116" s="30" t="str">
        <f>IF(LEN(VLOOKUP($A116,Questions!$B:$AA,22,FALSE))=0,"",VLOOKUP($A116,Questions!$B:$AA,22,FALSE))</f>
        <v xml:space="preserve"> </v>
      </c>
      <c r="F116" s="30" t="str">
        <f>IF(LEN(VLOOKUP($A116,Questions!$B:$AA,23,FALSE))=0,"",VLOOKUP($A116,Questions!$B:$AA,23,FALSE))</f>
        <v xml:space="preserve"> </v>
      </c>
      <c r="G116" s="30" t="str">
        <f>IF(LEN(VLOOKUP($A116,Questions!$B:$AA,24,FALSE))=0,"",VLOOKUP($A116,Questions!$B:$AA,24,FALSE))</f>
        <v xml:space="preserve"> </v>
      </c>
      <c r="H116" s="30" t="str">
        <f>IF(LEN(VLOOKUP($A116,Questions!$B:$AA,25,FALSE))=0,"",VLOOKUP($A116,Questions!$B:$AA,25,FALSE))</f>
        <v xml:space="preserve"> </v>
      </c>
      <c r="I116" s="31" t="str">
        <f>IF(LEN(VLOOKUP($A116,Questions!$B:$AA,26,FALSE))=0,"",VLOOKUP($A116,Questions!$B:$AA,26,FALSE))</f>
        <v xml:space="preserve"> </v>
      </c>
      <c r="J116" s="31" t="str">
        <f>IF(LEN(VLOOKUP($A116,Questions!$B:$AB,27,FALSE))=0,"",VLOOKUP($A116,Questions!$B:$AB,27,FALSE))</f>
        <v xml:space="preserve"> </v>
      </c>
    </row>
    <row r="117" spans="1:11" ht="48" customHeight="1">
      <c r="A117" s="10" t="s">
        <v>257</v>
      </c>
      <c r="B117" s="23" t="str">
        <f>VLOOKUP(A117,'HECVAT - Full | Vendor Response'!A$27:B$284,2,FALSE)</f>
        <v>Does your organization have an alternative business site or a contracted Business Recovery provider?</v>
      </c>
      <c r="C117" s="30" t="str">
        <f>IF(LEN(VLOOKUP($A117,Questions!$B:$AA,20,FALSE))=0,"",VLOOKUP($A117,Questions!$B:$AA,20,FALSE))</f>
        <v xml:space="preserve"> </v>
      </c>
      <c r="D117" s="32" t="str">
        <f>IF(LEN(VLOOKUP($A117,Questions!$B:$AA,21,FALSE))=0,"",VLOOKUP($A117,Questions!$B:$AA,21,FALSE))</f>
        <v xml:space="preserve"> </v>
      </c>
      <c r="E117" s="30" t="str">
        <f>IF(LEN(VLOOKUP($A117,Questions!$B:$AA,22,FALSE))=0,"",VLOOKUP($A117,Questions!$B:$AA,22,FALSE))</f>
        <v xml:space="preserve"> </v>
      </c>
      <c r="F117" s="30" t="str">
        <f>IF(LEN(VLOOKUP($A117,Questions!$B:$AA,23,FALSE))=0,"",VLOOKUP($A117,Questions!$B:$AA,23,FALSE))</f>
        <v xml:space="preserve"> </v>
      </c>
      <c r="G117" s="30" t="str">
        <f>IF(LEN(VLOOKUP($A117,Questions!$B:$AA,24,FALSE))=0,"",VLOOKUP($A117,Questions!$B:$AA,24,FALSE))</f>
        <v xml:space="preserve"> </v>
      </c>
      <c r="H117" s="30" t="str">
        <f>IF(LEN(VLOOKUP($A117,Questions!$B:$AA,25,FALSE))=0,"",VLOOKUP($A117,Questions!$B:$AA,25,FALSE))</f>
        <v xml:space="preserve"> </v>
      </c>
      <c r="I117" s="31" t="str">
        <f>IF(LEN(VLOOKUP($A117,Questions!$B:$AA,26,FALSE))=0,"",VLOOKUP($A117,Questions!$B:$AA,26,FALSE))</f>
        <v xml:space="preserve"> </v>
      </c>
      <c r="J117" s="31" t="str">
        <f>IF(LEN(VLOOKUP($A117,Questions!$B:$AB,27,FALSE))=0,"",VLOOKUP($A117,Questions!$B:$AB,27,FALSE))</f>
        <v xml:space="preserve"> </v>
      </c>
    </row>
    <row r="118" spans="1:11" ht="47.25" customHeight="1">
      <c r="A118" s="10" t="s">
        <v>259</v>
      </c>
      <c r="B118" s="23" t="str">
        <f>VLOOKUP(A118,'HECVAT - Full | Vendor Response'!A$27:B$284,2,FALSE)</f>
        <v>Does your organization conduct an annual test of relocating to an alternate site for business recovery purposes?</v>
      </c>
      <c r="C118" s="30" t="str">
        <f>IF(LEN(VLOOKUP($A118,Questions!$B:$AA,20,FALSE))=0,"",VLOOKUP($A118,Questions!$B:$AA,20,FALSE))</f>
        <v xml:space="preserve"> </v>
      </c>
      <c r="D118" s="32" t="str">
        <f>IF(LEN(VLOOKUP($A118,Questions!$B:$AA,21,FALSE))=0,"",VLOOKUP($A118,Questions!$B:$AA,21,FALSE))</f>
        <v xml:space="preserve"> </v>
      </c>
      <c r="E118" s="30" t="str">
        <f>IF(LEN(VLOOKUP($A118,Questions!$B:$AA,22,FALSE))=0,"",VLOOKUP($A118,Questions!$B:$AA,22,FALSE))</f>
        <v xml:space="preserve"> </v>
      </c>
      <c r="F118" s="30" t="str">
        <f>IF(LEN(VLOOKUP($A118,Questions!$B:$AA,23,FALSE))=0,"",VLOOKUP($A118,Questions!$B:$AA,23,FALSE))</f>
        <v xml:space="preserve"> </v>
      </c>
      <c r="G118" s="30" t="str">
        <f>IF(LEN(VLOOKUP($A118,Questions!$B:$AA,24,FALSE))=0,"",VLOOKUP($A118,Questions!$B:$AA,24,FALSE))</f>
        <v xml:space="preserve"> </v>
      </c>
      <c r="H118" s="30" t="str">
        <f>IF(LEN(VLOOKUP($A118,Questions!$B:$AA,25,FALSE))=0,"",VLOOKUP($A118,Questions!$B:$AA,25,FALSE))</f>
        <v xml:space="preserve"> </v>
      </c>
      <c r="I118" s="30" t="str">
        <f>IF(LEN(VLOOKUP($A118,Questions!$B:$AA,26,FALSE))=0,"",VLOOKUP($A118,Questions!$B:$AA,26,FALSE))</f>
        <v xml:space="preserve"> </v>
      </c>
      <c r="J118" s="30" t="str">
        <f>IF(LEN(VLOOKUP($A118,Questions!$B:$AB,27,FALSE))=0,"",VLOOKUP($A118,Questions!$B:$AB,27,FALSE))</f>
        <v xml:space="preserve"> </v>
      </c>
    </row>
    <row r="119" spans="1:11" ht="47.25" customHeight="1">
      <c r="A119" s="10" t="s">
        <v>261</v>
      </c>
      <c r="B119" s="23" t="str">
        <f>VLOOKUP(A119,'HECVAT - Full | Vendor Response'!A$27:B$284,2,FALSE)</f>
        <v>Is this product a core service of your organization and, as such, the top priority during business continuity planning?</v>
      </c>
      <c r="C119" s="30" t="str">
        <f>IF(LEN(VLOOKUP($A119,Questions!$B:$AA,20,FALSE))=0,"",VLOOKUP($A119,Questions!$B:$AA,20,FALSE))</f>
        <v xml:space="preserve"> </v>
      </c>
      <c r="D119" s="32" t="str">
        <f>IF(LEN(VLOOKUP($A119,Questions!$B:$AA,21,FALSE))=0,"",VLOOKUP($A119,Questions!$B:$AA,21,FALSE))</f>
        <v xml:space="preserve"> </v>
      </c>
      <c r="E119" s="30" t="str">
        <f>IF(LEN(VLOOKUP($A119,Questions!$B:$AA,22,FALSE))=0,"",VLOOKUP($A119,Questions!$B:$AA,22,FALSE))</f>
        <v xml:space="preserve"> </v>
      </c>
      <c r="F119" s="30" t="str">
        <f>IF(LEN(VLOOKUP($A119,Questions!$B:$AA,23,FALSE))=0,"",VLOOKUP($A119,Questions!$B:$AA,23,FALSE))</f>
        <v xml:space="preserve"> </v>
      </c>
      <c r="G119" s="31" t="str">
        <f>IF(LEN(VLOOKUP($A119,Questions!$B:$AA,24,FALSE))=0,"",VLOOKUP($A119,Questions!$B:$AA,24,FALSE))</f>
        <v xml:space="preserve"> </v>
      </c>
      <c r="H119" s="30" t="str">
        <f>IF(LEN(VLOOKUP($A119,Questions!$B:$AA,25,FALSE))=0,"",VLOOKUP($A119,Questions!$B:$AA,25,FALSE))</f>
        <v xml:space="preserve"> </v>
      </c>
      <c r="I119" s="30" t="str">
        <f>IF(LEN(VLOOKUP($A119,Questions!$B:$AA,26,FALSE))=0,"",VLOOKUP($A119,Questions!$B:$AA,26,FALSE))</f>
        <v xml:space="preserve"> </v>
      </c>
      <c r="J119" s="30" t="str">
        <f>IF(LEN(VLOOKUP($A119,Questions!$B:$AB,27,FALSE))=0,"",VLOOKUP($A119,Questions!$B:$AB,27,FALSE))</f>
        <v xml:space="preserve"> </v>
      </c>
    </row>
    <row r="120" spans="1:11" ht="47.25" customHeight="1">
      <c r="A120" s="10" t="s">
        <v>263</v>
      </c>
      <c r="B120" s="23" t="str">
        <f>VLOOKUP(A120,'HECVAT - Full | Vendor Response'!A$27:B$284,2,FALSE)</f>
        <v>Are all services that support your product fully redundant?</v>
      </c>
      <c r="C120" s="30" t="str">
        <f>IF(LEN(VLOOKUP($A120,Questions!$B:$AA,20,FALSE))=0,"",VLOOKUP($A120,Questions!$B:$AA,20,FALSE))</f>
        <v xml:space="preserve"> </v>
      </c>
      <c r="D120" s="32" t="str">
        <f>IF(LEN(VLOOKUP($A120,Questions!$B:$AA,21,FALSE))=0,"",VLOOKUP($A120,Questions!$B:$AA,21,FALSE))</f>
        <v xml:space="preserve"> </v>
      </c>
      <c r="E120" s="30" t="str">
        <f>IF(LEN(VLOOKUP($A120,Questions!$B:$AA,22,FALSE))=0,"",VLOOKUP($A120,Questions!$B:$AA,22,FALSE))</f>
        <v xml:space="preserve"> </v>
      </c>
      <c r="F120" s="30" t="str">
        <f>IF(LEN(VLOOKUP($A120,Questions!$B:$AA,23,FALSE))=0,"",VLOOKUP($A120,Questions!$B:$AA,23,FALSE))</f>
        <v xml:space="preserve"> </v>
      </c>
      <c r="G120" s="31" t="str">
        <f>IF(LEN(VLOOKUP($A120,Questions!$B:$AA,24,FALSE))=0,"",VLOOKUP($A120,Questions!$B:$AA,24,FALSE))</f>
        <v xml:space="preserve"> </v>
      </c>
      <c r="H120" s="30" t="str">
        <f>IF(LEN(VLOOKUP($A120,Questions!$B:$AA,25,FALSE))=0,"",VLOOKUP($A120,Questions!$B:$AA,25,FALSE))</f>
        <v xml:space="preserve"> </v>
      </c>
      <c r="I120" s="30" t="str">
        <f>IF(LEN(VLOOKUP($A120,Questions!$B:$AA,26,FALSE))=0,"",VLOOKUP($A120,Questions!$B:$AA,26,FALSE))</f>
        <v xml:space="preserve"> </v>
      </c>
      <c r="J120" s="30" t="str">
        <f>IF(LEN(VLOOKUP($A120,Questions!$B:$AB,27,FALSE))=0,"",VLOOKUP($A120,Questions!$B:$AB,27,FALSE))</f>
        <v xml:space="preserve"> </v>
      </c>
      <c r="K120" s="238" t="s">
        <v>3325</v>
      </c>
    </row>
    <row r="121" spans="1:11" ht="36" customHeight="1">
      <c r="A121" s="283" t="str">
        <f>IF($C$31="","Change Management",IF($C$31="Yes","Change Management - Optional based on QUALIFIER response.","Change Management"))</f>
        <v>Change Management</v>
      </c>
      <c r="B121" s="283"/>
      <c r="C121" s="18" t="str">
        <f>C$23</f>
        <v>CIS Critical Security Controls v6.1</v>
      </c>
      <c r="D121" s="18" t="str">
        <f t="shared" ref="D121:J121" si="8">D$23</f>
        <v>HIPAA</v>
      </c>
      <c r="E121" s="18" t="str">
        <f t="shared" si="8"/>
        <v>ISO 27002:27013</v>
      </c>
      <c r="F121" s="18" t="str">
        <f t="shared" si="8"/>
        <v>NIST Cybersecurity Framework</v>
      </c>
      <c r="G121" s="18" t="str">
        <f t="shared" si="8"/>
        <v>NIST SP 800-171r2</v>
      </c>
      <c r="H121" s="18" t="str">
        <f t="shared" si="8"/>
        <v>NIST SP 800-53r4</v>
      </c>
      <c r="I121" s="18" t="str">
        <f t="shared" si="8"/>
        <v>PCI DSS</v>
      </c>
      <c r="J121" s="18" t="str">
        <f t="shared" si="8"/>
        <v>Trusted CI</v>
      </c>
    </row>
    <row r="122" spans="1:11" ht="48" customHeight="1">
      <c r="A122" s="10" t="s">
        <v>266</v>
      </c>
      <c r="B122" s="23" t="str">
        <f>VLOOKUP(A122,'HECVAT - Full | Vendor Response'!A$27:B$284,2,FALSE)</f>
        <v>Does your Change Management process minimally include authorization, impact analysis, testing, and validation before moving changes to production?</v>
      </c>
      <c r="C122" s="30" t="str">
        <f>IF(LEN(VLOOKUP($A122,Questions!$B:$AA,20,FALSE))=0,"",VLOOKUP($A122,Questions!$B:$AA,20,FALSE))</f>
        <v xml:space="preserve"> </v>
      </c>
      <c r="D122" s="32" t="str">
        <f>IF(LEN(VLOOKUP($A122,Questions!$B:$AA,21,FALSE))=0,"",VLOOKUP($A122,Questions!$B:$AA,21,FALSE))</f>
        <v xml:space="preserve"> </v>
      </c>
      <c r="E122" s="30" t="str">
        <f>IF(LEN(VLOOKUP($A122,Questions!$B:$AA,22,FALSE))=0,"",VLOOKUP($A122,Questions!$B:$AA,22,FALSE))</f>
        <v xml:space="preserve"> </v>
      </c>
      <c r="F122" s="30" t="str">
        <f>IF(LEN(VLOOKUP($A122,Questions!$B:$AA,23,FALSE))=0,"",VLOOKUP($A122,Questions!$B:$AA,23,FALSE))</f>
        <v xml:space="preserve"> </v>
      </c>
      <c r="G122" s="30" t="str">
        <f>IF(LEN(VLOOKUP($A122,Questions!$B:$AA,24,FALSE))=0,"",VLOOKUP($A122,Questions!$B:$AA,24,FALSE))</f>
        <v xml:space="preserve"> </v>
      </c>
      <c r="H122" s="30" t="str">
        <f>IF(LEN(VLOOKUP($A122,Questions!$B:$AA,25,FALSE))=0,"",VLOOKUP($A122,Questions!$B:$AA,25,FALSE))</f>
        <v xml:space="preserve"> </v>
      </c>
      <c r="I122" s="30" t="str">
        <f>IF(LEN(VLOOKUP($A122,Questions!$B:$AA,26,FALSE))=0,"",VLOOKUP($A122,Questions!$B:$AA,26,FALSE))</f>
        <v xml:space="preserve"> </v>
      </c>
      <c r="J122" s="30" t="str">
        <f>IF(LEN(VLOOKUP($A122,Questions!$B:$AB,27,FALSE))=0,"",VLOOKUP($A122,Questions!$B:$AB,27,FALSE))</f>
        <v xml:space="preserve"> </v>
      </c>
    </row>
    <row r="123" spans="1:11" ht="80.25" customHeight="1">
      <c r="A123" s="10" t="s">
        <v>268</v>
      </c>
      <c r="B123" s="23" t="str">
        <f>VLOOKUP(A123,'HECVAT - Full | Vendor Response'!A$27:B$284,2,FALSE)</f>
        <v>Does your Change Management process also verify that all required third-party libraries and dependencies are still supported with each major change?</v>
      </c>
      <c r="C123" s="30" t="str">
        <f>IF(LEN(VLOOKUP($A123,Questions!$B:$AA,20,FALSE))=0,"",VLOOKUP($A123,Questions!$B:$AA,20,FALSE))</f>
        <v xml:space="preserve"> </v>
      </c>
      <c r="D123" s="32" t="str">
        <f>IF(LEN(VLOOKUP($A123,Questions!$B:$AA,21,FALSE))=0,"",VLOOKUP($A123,Questions!$B:$AA,21,FALSE))</f>
        <v xml:space="preserve"> </v>
      </c>
      <c r="E123" s="30" t="str">
        <f>IF(LEN(VLOOKUP($A123,Questions!$B:$AA,22,FALSE))=0,"",VLOOKUP($A123,Questions!$B:$AA,22,FALSE))</f>
        <v xml:space="preserve"> </v>
      </c>
      <c r="F123" s="30" t="str">
        <f>IF(LEN(VLOOKUP($A123,Questions!$B:$AA,23,FALSE))=0,"",VLOOKUP($A123,Questions!$B:$AA,23,FALSE))</f>
        <v xml:space="preserve"> </v>
      </c>
      <c r="G123" s="30" t="str">
        <f>IF(LEN(VLOOKUP($A123,Questions!$B:$AA,24,FALSE))=0,"",VLOOKUP($A123,Questions!$B:$AA,24,FALSE))</f>
        <v xml:space="preserve"> </v>
      </c>
      <c r="H123" s="30" t="str">
        <f>IF(LEN(VLOOKUP($A123,Questions!$B:$AA,25,FALSE))=0,"",VLOOKUP($A123,Questions!$B:$AA,25,FALSE))</f>
        <v xml:space="preserve"> </v>
      </c>
      <c r="I123" s="30" t="str">
        <f>IF(LEN(VLOOKUP($A123,Questions!$B:$AA,26,FALSE))=0,"",VLOOKUP($A123,Questions!$B:$AA,26,FALSE))</f>
        <v xml:space="preserve"> </v>
      </c>
      <c r="J123" s="30" t="str">
        <f>IF(LEN(VLOOKUP($A123,Questions!$B:$AB,27,FALSE))=0,"",VLOOKUP($A123,Questions!$B:$AB,27,FALSE))</f>
        <v xml:space="preserve"> </v>
      </c>
    </row>
    <row r="124" spans="1:11" ht="64.5" customHeight="1">
      <c r="A124" s="10" t="s">
        <v>270</v>
      </c>
      <c r="B124" s="23" t="str">
        <f>VLOOKUP(A124,'HECVAT - Full | Vendor Response'!A$27:B$284,2,FALSE)</f>
        <v>Will the institution be notified of major changes to your environment that could impact the institution's security posture?</v>
      </c>
      <c r="C124" s="30" t="str">
        <f>IF(LEN(VLOOKUP($A124,Questions!$B:$AA,20,FALSE))=0,"",VLOOKUP($A124,Questions!$B:$AA,20,FALSE))</f>
        <v xml:space="preserve"> </v>
      </c>
      <c r="D124" s="32" t="str">
        <f>IF(LEN(VLOOKUP($A124,Questions!$B:$AA,21,FALSE))=0,"",VLOOKUP($A124,Questions!$B:$AA,21,FALSE))</f>
        <v xml:space="preserve"> </v>
      </c>
      <c r="E124" s="30" t="str">
        <f>IF(LEN(VLOOKUP($A124,Questions!$B:$AA,22,FALSE))=0,"",VLOOKUP($A124,Questions!$B:$AA,22,FALSE))</f>
        <v xml:space="preserve"> </v>
      </c>
      <c r="F124" s="31" t="str">
        <f>IF(LEN(VLOOKUP($A124,Questions!$B:$AA,23,FALSE))=0,"",VLOOKUP($A124,Questions!$B:$AA,23,FALSE))</f>
        <v xml:space="preserve"> </v>
      </c>
      <c r="G124" s="31" t="str">
        <f>IF(LEN(VLOOKUP($A124,Questions!$B:$AA,24,FALSE))=0,"",VLOOKUP($A124,Questions!$B:$AA,24,FALSE))</f>
        <v xml:space="preserve"> </v>
      </c>
      <c r="H124" s="30" t="str">
        <f>IF(LEN(VLOOKUP($A124,Questions!$B:$AA,25,FALSE))=0,"",VLOOKUP($A124,Questions!$B:$AA,25,FALSE))</f>
        <v xml:space="preserve"> </v>
      </c>
      <c r="I124" s="30" t="str">
        <f>IF(LEN(VLOOKUP($A124,Questions!$B:$AA,26,FALSE))=0,"",VLOOKUP($A124,Questions!$B:$AA,26,FALSE))</f>
        <v xml:space="preserve"> </v>
      </c>
      <c r="J124" s="30" t="str">
        <f>IF(LEN(VLOOKUP($A124,Questions!$B:$AB,27,FALSE))=0,"",VLOOKUP($A124,Questions!$B:$AB,27,FALSE))</f>
        <v xml:space="preserve"> </v>
      </c>
    </row>
    <row r="125" spans="1:11" ht="64.5" customHeight="1">
      <c r="A125" s="10" t="s">
        <v>272</v>
      </c>
      <c r="B125" s="23" t="str">
        <f>VLOOKUP(A125,'HECVAT - Full | Vendor Response'!A$27:B$284,2,FALSE)</f>
        <v>Do clients have the option to not participate in or postpone an upgrade to a new release?</v>
      </c>
      <c r="C125" s="30" t="str">
        <f>IF(LEN(VLOOKUP($A125,Questions!$B:$AA,20,FALSE))=0,"",VLOOKUP($A125,Questions!$B:$AA,20,FALSE))</f>
        <v xml:space="preserve"> </v>
      </c>
      <c r="D125" s="102" t="str">
        <f>IF(LEN(VLOOKUP($A125,Questions!$B:$AA,21,FALSE))=0,"",VLOOKUP($A125,Questions!$B:$AA,21,FALSE))</f>
        <v xml:space="preserve"> </v>
      </c>
      <c r="E125" s="31" t="str">
        <f>IF(LEN(VLOOKUP($A125,Questions!$B:$AA,22,FALSE))=0,"",VLOOKUP($A125,Questions!$B:$AA,22,FALSE))</f>
        <v xml:space="preserve"> </v>
      </c>
      <c r="F125" s="31" t="str">
        <f>IF(LEN(VLOOKUP($A125,Questions!$B:$AA,23,FALSE))=0,"",VLOOKUP($A125,Questions!$B:$AA,23,FALSE))</f>
        <v xml:space="preserve"> </v>
      </c>
      <c r="G125" s="31" t="str">
        <f>IF(LEN(VLOOKUP($A125,Questions!$B:$AA,24,FALSE))=0,"",VLOOKUP($A125,Questions!$B:$AA,24,FALSE))</f>
        <v xml:space="preserve"> </v>
      </c>
      <c r="H125" s="30" t="str">
        <f>IF(LEN(VLOOKUP($A125,Questions!$B:$AA,25,FALSE))=0,"",VLOOKUP($A125,Questions!$B:$AA,25,FALSE))</f>
        <v xml:space="preserve"> </v>
      </c>
      <c r="I125" s="30" t="str">
        <f>IF(LEN(VLOOKUP($A125,Questions!$B:$AA,26,FALSE))=0,"",VLOOKUP($A125,Questions!$B:$AA,26,FALSE))</f>
        <v xml:space="preserve"> </v>
      </c>
      <c r="J125" s="30" t="str">
        <f>IF(LEN(VLOOKUP($A125,Questions!$B:$AB,27,FALSE))=0,"",VLOOKUP($A125,Questions!$B:$AB,27,FALSE))</f>
        <v xml:space="preserve"> </v>
      </c>
    </row>
    <row r="126" spans="1:11" ht="64.5" customHeight="1">
      <c r="A126" s="10" t="s">
        <v>274</v>
      </c>
      <c r="B126" s="23" t="str">
        <f>VLOOKUP(A126,'HECVAT - Full | Vendor Response'!A$27:B$284,2,FALSE)</f>
        <v>Do you have a fully implemented solution support strategy that defines how many concurrent versions you support?</v>
      </c>
      <c r="C126" s="30" t="str">
        <f>IF(LEN(VLOOKUP($A126,Questions!$B:$AA,20,FALSE))=0,"",VLOOKUP($A126,Questions!$B:$AA,20,FALSE))</f>
        <v xml:space="preserve"> </v>
      </c>
      <c r="D126" s="32" t="str">
        <f>IF(LEN(VLOOKUP($A126,Questions!$B:$AA,21,FALSE))=0,"",VLOOKUP($A126,Questions!$B:$AA,21,FALSE))</f>
        <v xml:space="preserve"> </v>
      </c>
      <c r="E126" s="31" t="str">
        <f>IF(LEN(VLOOKUP($A126,Questions!$B:$AA,22,FALSE))=0,"",VLOOKUP($A126,Questions!$B:$AA,22,FALSE))</f>
        <v xml:space="preserve"> </v>
      </c>
      <c r="F126" s="31" t="str">
        <f>IF(LEN(VLOOKUP($A126,Questions!$B:$AA,23,FALSE))=0,"",VLOOKUP($A126,Questions!$B:$AA,23,FALSE))</f>
        <v xml:space="preserve"> </v>
      </c>
      <c r="G126" s="31" t="str">
        <f>IF(LEN(VLOOKUP($A126,Questions!$B:$AA,24,FALSE))=0,"",VLOOKUP($A126,Questions!$B:$AA,24,FALSE))</f>
        <v xml:space="preserve"> </v>
      </c>
      <c r="H126" s="30" t="str">
        <f>IF(LEN(VLOOKUP($A126,Questions!$B:$AA,25,FALSE))=0,"",VLOOKUP($A126,Questions!$B:$AA,25,FALSE))</f>
        <v xml:space="preserve"> </v>
      </c>
      <c r="I126" s="30" t="str">
        <f>IF(LEN(VLOOKUP($A126,Questions!$B:$AA,26,FALSE))=0,"",VLOOKUP($A126,Questions!$B:$AA,26,FALSE))</f>
        <v xml:space="preserve"> </v>
      </c>
      <c r="J126" s="30" t="str">
        <f>IF(LEN(VLOOKUP($A126,Questions!$B:$AB,27,FALSE))=0,"",VLOOKUP($A126,Questions!$B:$AB,27,FALSE))</f>
        <v xml:space="preserve"> </v>
      </c>
    </row>
    <row r="127" spans="1:11" ht="64.5" customHeight="1">
      <c r="A127" s="10" t="s">
        <v>276</v>
      </c>
      <c r="B127" s="23" t="str">
        <f>VLOOKUP(A127,'HECVAT - Full | Vendor Response'!A$27:B$284,2,FALSE)</f>
        <v>Does the system support client customizations from one release to another?</v>
      </c>
      <c r="C127" s="30" t="str">
        <f>IF(LEN(VLOOKUP($A127,Questions!$B:$AA,20,FALSE))=0,"",VLOOKUP($A127,Questions!$B:$AA,20,FALSE))</f>
        <v xml:space="preserve"> </v>
      </c>
      <c r="D127" s="32" t="str">
        <f>IF(LEN(VLOOKUP($A127,Questions!$B:$AA,21,FALSE))=0,"",VLOOKUP($A127,Questions!$B:$AA,21,FALSE))</f>
        <v xml:space="preserve"> </v>
      </c>
      <c r="E127" s="31" t="str">
        <f>IF(LEN(VLOOKUP($A127,Questions!$B:$AA,22,FALSE))=0,"",VLOOKUP($A127,Questions!$B:$AA,22,FALSE))</f>
        <v xml:space="preserve"> </v>
      </c>
      <c r="F127" s="31" t="str">
        <f>IF(LEN(VLOOKUP($A127,Questions!$B:$AA,23,FALSE))=0,"",VLOOKUP($A127,Questions!$B:$AA,23,FALSE))</f>
        <v xml:space="preserve"> </v>
      </c>
      <c r="G127" s="31" t="str">
        <f>IF(LEN(VLOOKUP($A127,Questions!$B:$AA,24,FALSE))=0,"",VLOOKUP($A127,Questions!$B:$AA,24,FALSE))</f>
        <v xml:space="preserve"> </v>
      </c>
      <c r="H127" s="30" t="str">
        <f>IF(LEN(VLOOKUP($A127,Questions!$B:$AA,25,FALSE))=0,"",VLOOKUP($A127,Questions!$B:$AA,25,FALSE))</f>
        <v xml:space="preserve"> </v>
      </c>
      <c r="I127" s="31" t="str">
        <f>IF(LEN(VLOOKUP($A127,Questions!$B:$AA,26,FALSE))=0,"",VLOOKUP($A127,Questions!$B:$AA,26,FALSE))</f>
        <v xml:space="preserve"> </v>
      </c>
      <c r="J127" s="31" t="str">
        <f>IF(LEN(VLOOKUP($A127,Questions!$B:$AB,27,FALSE))=0,"",VLOOKUP($A127,Questions!$B:$AB,27,FALSE))</f>
        <v xml:space="preserve"> </v>
      </c>
    </row>
    <row r="128" spans="1:11" ht="64.5" customHeight="1">
      <c r="A128" s="10" t="s">
        <v>278</v>
      </c>
      <c r="B128" s="23" t="str">
        <f>VLOOKUP(A128,'HECVAT - Full | Vendor Response'!A$27:B$284,2,FALSE)</f>
        <v>Do you have a release schedule for product updates?</v>
      </c>
      <c r="C128" s="30" t="str">
        <f>IF(LEN(VLOOKUP($A128,Questions!$B:$AA,20,FALSE))=0,"",VLOOKUP($A128,Questions!$B:$AA,20,FALSE))</f>
        <v xml:space="preserve"> </v>
      </c>
      <c r="D128" s="32" t="str">
        <f>IF(LEN(VLOOKUP($A128,Questions!$B:$AA,21,FALSE))=0,"",VLOOKUP($A128,Questions!$B:$AA,21,FALSE))</f>
        <v xml:space="preserve"> </v>
      </c>
      <c r="E128" s="31" t="str">
        <f>IF(LEN(VLOOKUP($A128,Questions!$B:$AA,22,FALSE))=0,"",VLOOKUP($A128,Questions!$B:$AA,22,FALSE))</f>
        <v xml:space="preserve"> </v>
      </c>
      <c r="F128" s="31" t="str">
        <f>IF(LEN(VLOOKUP($A128,Questions!$B:$AA,23,FALSE))=0,"",VLOOKUP($A128,Questions!$B:$AA,23,FALSE))</f>
        <v xml:space="preserve"> </v>
      </c>
      <c r="G128" s="31" t="str">
        <f>IF(LEN(VLOOKUP($A128,Questions!$B:$AA,24,FALSE))=0,"",VLOOKUP($A128,Questions!$B:$AA,24,FALSE))</f>
        <v xml:space="preserve"> </v>
      </c>
      <c r="H128" s="30" t="str">
        <f>IF(LEN(VLOOKUP($A128,Questions!$B:$AA,25,FALSE))=0,"",VLOOKUP($A128,Questions!$B:$AA,25,FALSE))</f>
        <v xml:space="preserve"> </v>
      </c>
      <c r="I128" s="31" t="str">
        <f>IF(LEN(VLOOKUP($A128,Questions!$B:$AA,26,FALSE))=0,"",VLOOKUP($A128,Questions!$B:$AA,26,FALSE))</f>
        <v xml:space="preserve"> </v>
      </c>
      <c r="J128" s="31" t="str">
        <f>IF(LEN(VLOOKUP($A128,Questions!$B:$AB,27,FALSE))=0,"",VLOOKUP($A128,Questions!$B:$AB,27,FALSE))</f>
        <v xml:space="preserve"> </v>
      </c>
    </row>
    <row r="129" spans="1:11" ht="64.5" customHeight="1">
      <c r="A129" s="10" t="s">
        <v>280</v>
      </c>
      <c r="B129" s="23" t="str">
        <f>VLOOKUP(A129,'HECVAT - Full | Vendor Response'!A$27:B$284,2,FALSE)</f>
        <v>Do you have a technology roadmap, for at least the next two years, for enhancements and bug fixes for the product/service being assessed?</v>
      </c>
      <c r="C129" s="30" t="str">
        <f>IF(LEN(VLOOKUP($A129,Questions!$B:$AA,20,FALSE))=0,"",VLOOKUP($A129,Questions!$B:$AA,20,FALSE))</f>
        <v xml:space="preserve"> </v>
      </c>
      <c r="D129" s="32" t="str">
        <f>IF(LEN(VLOOKUP($A129,Questions!$B:$AA,21,FALSE))=0,"",VLOOKUP($A129,Questions!$B:$AA,21,FALSE))</f>
        <v xml:space="preserve"> </v>
      </c>
      <c r="E129" s="30" t="str">
        <f>IF(LEN(VLOOKUP($A129,Questions!$B:$AA,22,FALSE))=0,"",VLOOKUP($A129,Questions!$B:$AA,22,FALSE))</f>
        <v xml:space="preserve"> </v>
      </c>
      <c r="F129" s="30" t="str">
        <f>IF(LEN(VLOOKUP($A129,Questions!$B:$AA,23,FALSE))=0,"",VLOOKUP($A129,Questions!$B:$AA,23,FALSE))</f>
        <v xml:space="preserve"> </v>
      </c>
      <c r="G129" s="30" t="str">
        <f>IF(LEN(VLOOKUP($A129,Questions!$B:$AA,24,FALSE))=0,"",VLOOKUP($A129,Questions!$B:$AA,24,FALSE))</f>
        <v xml:space="preserve"> </v>
      </c>
      <c r="H129" s="30" t="str">
        <f>IF(LEN(VLOOKUP($A129,Questions!$B:$AA,25,FALSE))=0,"",VLOOKUP($A129,Questions!$B:$AA,25,FALSE))</f>
        <v xml:space="preserve"> </v>
      </c>
      <c r="I129" s="30" t="str">
        <f>IF(LEN(VLOOKUP($A129,Questions!$B:$AA,26,FALSE))=0,"",VLOOKUP($A129,Questions!$B:$AA,26,FALSE))</f>
        <v xml:space="preserve"> </v>
      </c>
      <c r="J129" s="30" t="str">
        <f>IF(LEN(VLOOKUP($A129,Questions!$B:$AB,27,FALSE))=0,"",VLOOKUP($A129,Questions!$B:$AB,27,FALSE))</f>
        <v xml:space="preserve"> </v>
      </c>
    </row>
    <row r="130" spans="1:11" ht="64.5" customHeight="1">
      <c r="A130" s="10" t="s">
        <v>282</v>
      </c>
      <c r="B130" s="23" t="str">
        <f>VLOOKUP(A130,'HECVAT - Full | Vendor Response'!A$27:B$284,2,FALSE)</f>
        <v>Is institutional involvement (i.e., technically or organizationally) required during product updates?</v>
      </c>
      <c r="C130" s="30" t="str">
        <f>IF(LEN(VLOOKUP($A130,Questions!$B:$AA,20,FALSE))=0,"",VLOOKUP($A130,Questions!$B:$AA,20,FALSE))</f>
        <v xml:space="preserve"> </v>
      </c>
      <c r="D130" s="32" t="str">
        <f>IF(LEN(VLOOKUP($A130,Questions!$B:$AA,21,FALSE))=0,"",VLOOKUP($A130,Questions!$B:$AA,21,FALSE))</f>
        <v xml:space="preserve"> </v>
      </c>
      <c r="E130" s="31" t="str">
        <f>IF(LEN(VLOOKUP($A130,Questions!$B:$AA,22,FALSE))=0,"",VLOOKUP($A130,Questions!$B:$AA,22,FALSE))</f>
        <v xml:space="preserve"> </v>
      </c>
      <c r="F130" s="31" t="str">
        <f>IF(LEN(VLOOKUP($A130,Questions!$B:$AA,23,FALSE))=0,"",VLOOKUP($A130,Questions!$B:$AA,23,FALSE))</f>
        <v xml:space="preserve"> </v>
      </c>
      <c r="G130" s="30" t="str">
        <f>IF(LEN(VLOOKUP($A130,Questions!$B:$AA,24,FALSE))=0,"",VLOOKUP($A130,Questions!$B:$AA,24,FALSE))</f>
        <v xml:space="preserve"> </v>
      </c>
      <c r="H130" s="30" t="str">
        <f>IF(LEN(VLOOKUP($A130,Questions!$B:$AA,25,FALSE))=0,"",VLOOKUP($A130,Questions!$B:$AA,25,FALSE))</f>
        <v xml:space="preserve"> </v>
      </c>
      <c r="I130" s="31" t="str">
        <f>IF(LEN(VLOOKUP($A130,Questions!$B:$AA,26,FALSE))=0,"",VLOOKUP($A130,Questions!$B:$AA,26,FALSE))</f>
        <v xml:space="preserve"> </v>
      </c>
      <c r="J130" s="31" t="str">
        <f>IF(LEN(VLOOKUP($A130,Questions!$B:$AB,27,FALSE))=0,"",VLOOKUP($A130,Questions!$B:$AB,27,FALSE))</f>
        <v xml:space="preserve"> </v>
      </c>
    </row>
    <row r="131" spans="1:11" ht="64.5" customHeight="1">
      <c r="A131" s="10" t="s">
        <v>284</v>
      </c>
      <c r="B131" s="23" t="str">
        <f>VLOOKUP(A131,'HECVAT - Full | Vendor Response'!A$27:B$284,2,FALSE)</f>
        <v>Do you have policy and procedure, currently implemented, managing how critical patches are applied to all systems and applications?</v>
      </c>
      <c r="C131" s="30" t="str">
        <f>IF(LEN(VLOOKUP($A131,Questions!$B:$AA,20,FALSE))=0,"",VLOOKUP($A131,Questions!$B:$AA,20,FALSE))</f>
        <v xml:space="preserve"> </v>
      </c>
      <c r="D131" s="32" t="str">
        <f>IF(LEN(VLOOKUP($A131,Questions!$B:$AA,21,FALSE))=0,"",VLOOKUP($A131,Questions!$B:$AA,21,FALSE))</f>
        <v xml:space="preserve"> </v>
      </c>
      <c r="E131" s="31" t="str">
        <f>IF(LEN(VLOOKUP($A131,Questions!$B:$AA,22,FALSE))=0,"",VLOOKUP($A131,Questions!$B:$AA,22,FALSE))</f>
        <v xml:space="preserve"> </v>
      </c>
      <c r="F131" s="31" t="str">
        <f>IF(LEN(VLOOKUP($A131,Questions!$B:$AA,23,FALSE))=0,"",VLOOKUP($A131,Questions!$B:$AA,23,FALSE))</f>
        <v xml:space="preserve"> </v>
      </c>
      <c r="G131" s="31" t="str">
        <f>IF(LEN(VLOOKUP($A131,Questions!$B:$AA,24,FALSE))=0,"",VLOOKUP($A131,Questions!$B:$AA,24,FALSE))</f>
        <v xml:space="preserve"> </v>
      </c>
      <c r="H131" s="30" t="str">
        <f>IF(LEN(VLOOKUP($A131,Questions!$B:$AA,25,FALSE))=0,"",VLOOKUP($A131,Questions!$B:$AA,25,FALSE))</f>
        <v xml:space="preserve"> </v>
      </c>
      <c r="I131" s="31" t="str">
        <f>IF(LEN(VLOOKUP($A131,Questions!$B:$AA,26,FALSE))=0,"",VLOOKUP($A131,Questions!$B:$AA,26,FALSE))</f>
        <v xml:space="preserve"> </v>
      </c>
      <c r="J131" s="31" t="str">
        <f>IF(LEN(VLOOKUP($A131,Questions!$B:$AB,27,FALSE))=0,"",VLOOKUP($A131,Questions!$B:$AB,27,FALSE))</f>
        <v xml:space="preserve"> </v>
      </c>
    </row>
    <row r="132" spans="1:11" ht="64.5" customHeight="1">
      <c r="A132" s="10" t="s">
        <v>286</v>
      </c>
      <c r="B132" s="23" t="str">
        <f>VLOOKUP(A132,'HECVAT - Full | Vendor Response'!A$27:B$284,2,FALSE)</f>
        <v>Do you have policy and procedure, currently implemented, guiding how security risks are mitigated until patches can be applied?</v>
      </c>
      <c r="C132" s="31" t="str">
        <f>IF(LEN(VLOOKUP($A132,Questions!$B:$AA,20,FALSE))=0,"",VLOOKUP($A132,Questions!$B:$AA,20,FALSE))</f>
        <v xml:space="preserve"> </v>
      </c>
      <c r="D132" s="32" t="str">
        <f>IF(LEN(VLOOKUP($A132,Questions!$B:$AA,21,FALSE))=0,"",VLOOKUP($A132,Questions!$B:$AA,21,FALSE))</f>
        <v xml:space="preserve"> </v>
      </c>
      <c r="E132" s="31" t="str">
        <f>IF(LEN(VLOOKUP($A132,Questions!$B:$AA,22,FALSE))=0,"",VLOOKUP($A132,Questions!$B:$AA,22,FALSE))</f>
        <v xml:space="preserve"> </v>
      </c>
      <c r="F132" s="31" t="str">
        <f>IF(LEN(VLOOKUP($A132,Questions!$B:$AA,23,FALSE))=0,"",VLOOKUP($A132,Questions!$B:$AA,23,FALSE))</f>
        <v xml:space="preserve"> </v>
      </c>
      <c r="G132" s="31" t="str">
        <f>IF(LEN(VLOOKUP($A132,Questions!$B:$AA,24,FALSE))=0,"",VLOOKUP($A132,Questions!$B:$AA,24,FALSE))</f>
        <v xml:space="preserve"> </v>
      </c>
      <c r="H132" s="30" t="str">
        <f>IF(LEN(VLOOKUP($A132,Questions!$B:$AA,25,FALSE))=0,"",VLOOKUP($A132,Questions!$B:$AA,25,FALSE))</f>
        <v xml:space="preserve"> </v>
      </c>
      <c r="I132" s="31" t="str">
        <f>IF(LEN(VLOOKUP($A132,Questions!$B:$AA,26,FALSE))=0,"",VLOOKUP($A132,Questions!$B:$AA,26,FALSE))</f>
        <v xml:space="preserve"> </v>
      </c>
      <c r="J132" s="31" t="str">
        <f>IF(LEN(VLOOKUP($A132,Questions!$B:$AB,27,FALSE))=0,"",VLOOKUP($A132,Questions!$B:$AB,27,FALSE))</f>
        <v xml:space="preserve"> </v>
      </c>
    </row>
    <row r="133" spans="1:11" ht="64.5" customHeight="1">
      <c r="A133" s="10" t="s">
        <v>288</v>
      </c>
      <c r="B133" s="23" t="str">
        <f>VLOOKUP(A133,'HECVAT - Full | Vendor Response'!A$27:B$284,2,FALSE)</f>
        <v>Are upgrades or system changes installed during off-peak hours or in a manner that does not impact the customer?</v>
      </c>
      <c r="C133" s="30" t="str">
        <f>IF(LEN(VLOOKUP($A133,Questions!$B:$AA,20,FALSE))=0,"",VLOOKUP($A133,Questions!$B:$AA,20,FALSE))</f>
        <v xml:space="preserve"> </v>
      </c>
      <c r="D133" s="32" t="str">
        <f>IF(LEN(VLOOKUP($A133,Questions!$B:$AA,21,FALSE))=0,"",VLOOKUP($A133,Questions!$B:$AA,21,FALSE))</f>
        <v xml:space="preserve"> </v>
      </c>
      <c r="E133" s="30" t="str">
        <f>IF(LEN(VLOOKUP($A133,Questions!$B:$AA,22,FALSE))=0,"",VLOOKUP($A133,Questions!$B:$AA,22,FALSE))</f>
        <v xml:space="preserve"> </v>
      </c>
      <c r="F133" s="31" t="str">
        <f>IF(LEN(VLOOKUP($A133,Questions!$B:$AA,23,FALSE))=0,"",VLOOKUP($A133,Questions!$B:$AA,23,FALSE))</f>
        <v xml:space="preserve"> </v>
      </c>
      <c r="G133" s="31" t="str">
        <f>IF(LEN(VLOOKUP($A133,Questions!$B:$AA,24,FALSE))=0,"",VLOOKUP($A133,Questions!$B:$AA,24,FALSE))</f>
        <v xml:space="preserve"> </v>
      </c>
      <c r="H133" s="30" t="str">
        <f>IF(LEN(VLOOKUP($A133,Questions!$B:$AA,25,FALSE))=0,"",VLOOKUP($A133,Questions!$B:$AA,25,FALSE))</f>
        <v xml:space="preserve"> </v>
      </c>
      <c r="I133" s="30" t="str">
        <f>IF(LEN(VLOOKUP($A133,Questions!$B:$AA,26,FALSE))=0,"",VLOOKUP($A133,Questions!$B:$AA,26,FALSE))</f>
        <v xml:space="preserve"> </v>
      </c>
      <c r="J133" s="30" t="str">
        <f>IF(LEN(VLOOKUP($A133,Questions!$B:$AB,27,FALSE))=0,"",VLOOKUP($A133,Questions!$B:$AB,27,FALSE))</f>
        <v xml:space="preserve"> </v>
      </c>
    </row>
    <row r="134" spans="1:11" ht="64.5" customHeight="1">
      <c r="A134" s="10" t="s">
        <v>290</v>
      </c>
      <c r="B134" s="23" t="str">
        <f>VLOOKUP(A134,'HECVAT - Full | Vendor Response'!A$27:B$284,2,FALSE)</f>
        <v>Do procedures exist to provide that emergency changes are documented and authorized (including after-the-fact approval)?</v>
      </c>
      <c r="C134" s="30" t="str">
        <f>IF(LEN(VLOOKUP($A134,Questions!$B:$AA,20,FALSE))=0,"",VLOOKUP($A134,Questions!$B:$AA,20,FALSE))</f>
        <v xml:space="preserve"> </v>
      </c>
      <c r="D134" s="30" t="str">
        <f>IF(LEN(VLOOKUP($A134,Questions!$B:$AA,21,FALSE))=0,"",VLOOKUP($A134,Questions!$B:$AA,21,FALSE))</f>
        <v xml:space="preserve"> </v>
      </c>
      <c r="E134" s="30" t="str">
        <f>IF(LEN(VLOOKUP($A134,Questions!$B:$AA,22,FALSE))=0,"",VLOOKUP($A134,Questions!$B:$AA,22,FALSE))</f>
        <v xml:space="preserve"> </v>
      </c>
      <c r="F134" s="31" t="str">
        <f>IF(LEN(VLOOKUP($A134,Questions!$B:$AA,23,FALSE))=0,"",VLOOKUP($A134,Questions!$B:$AA,23,FALSE))</f>
        <v xml:space="preserve"> </v>
      </c>
      <c r="G134" s="31" t="str">
        <f>IF(LEN(VLOOKUP($A134,Questions!$B:$AA,24,FALSE))=0,"",VLOOKUP($A134,Questions!$B:$AA,24,FALSE))</f>
        <v xml:space="preserve"> </v>
      </c>
      <c r="H134" s="30" t="str">
        <f>IF(LEN(VLOOKUP($A134,Questions!$B:$AA,25,FALSE))=0,"",VLOOKUP($A134,Questions!$B:$AA,25,FALSE))</f>
        <v xml:space="preserve"> </v>
      </c>
      <c r="I134" s="30" t="str">
        <f>IF(LEN(VLOOKUP($A134,Questions!$B:$AA,26,FALSE))=0,"",VLOOKUP($A134,Questions!$B:$AA,26,FALSE))</f>
        <v xml:space="preserve"> </v>
      </c>
      <c r="J134" s="30" t="str">
        <f>IF(LEN(VLOOKUP($A134,Questions!$B:$AB,27,FALSE))=0,"",VLOOKUP($A134,Questions!$B:$AB,27,FALSE))</f>
        <v xml:space="preserve"> </v>
      </c>
    </row>
    <row r="135" spans="1:11" ht="48" customHeight="1">
      <c r="A135" s="10" t="s">
        <v>292</v>
      </c>
      <c r="B135" s="23" t="str">
        <f>VLOOKUP(A135,'HECVAT - Full | Vendor Response'!A$27:B$284,2,FALSE)</f>
        <v>Do you have an implemented system configuration management process? (e.g.,secure "gold" images, etc.)</v>
      </c>
      <c r="C135" s="30" t="str">
        <f>IF(LEN(VLOOKUP($A135,Questions!$B:$AA,20,FALSE))=0,"",VLOOKUP($A135,Questions!$B:$AA,20,FALSE))</f>
        <v xml:space="preserve"> </v>
      </c>
      <c r="D135" s="102" t="str">
        <f>IF(LEN(VLOOKUP($A135,Questions!$B:$AA,21,FALSE))=0,"",VLOOKUP($A135,Questions!$B:$AA,21,FALSE))</f>
        <v xml:space="preserve"> </v>
      </c>
      <c r="E135" s="31" t="str">
        <f>IF(LEN(VLOOKUP($A135,Questions!$B:$AA,22,FALSE))=0,"",VLOOKUP($A135,Questions!$B:$AA,22,FALSE))</f>
        <v xml:space="preserve"> </v>
      </c>
      <c r="F135" s="31" t="str">
        <f>IF(LEN(VLOOKUP($A135,Questions!$B:$AA,23,FALSE))=0,"",VLOOKUP($A135,Questions!$B:$AA,23,FALSE))</f>
        <v xml:space="preserve"> </v>
      </c>
      <c r="G135" s="31" t="str">
        <f>IF(LEN(VLOOKUP($A135,Questions!$B:$AA,24,FALSE))=0,"",VLOOKUP($A135,Questions!$B:$AA,24,FALSE))</f>
        <v xml:space="preserve"> </v>
      </c>
      <c r="H135" s="30" t="str">
        <f>IF(LEN(VLOOKUP($A135,Questions!$B:$AA,25,FALSE))=0,"",VLOOKUP($A135,Questions!$B:$AA,25,FALSE))</f>
        <v xml:space="preserve"> </v>
      </c>
      <c r="I135" s="30" t="str">
        <f>IF(LEN(VLOOKUP($A135,Questions!$B:$AA,26,FALSE))=0,"",VLOOKUP($A135,Questions!$B:$AA,26,FALSE))</f>
        <v xml:space="preserve"> </v>
      </c>
      <c r="J135" s="30" t="str">
        <f>IF(LEN(VLOOKUP($A135,Questions!$B:$AB,27,FALSE))=0,"",VLOOKUP($A135,Questions!$B:$AB,27,FALSE))</f>
        <v xml:space="preserve"> </v>
      </c>
    </row>
    <row r="136" spans="1:11" ht="78.75" customHeight="1">
      <c r="A136" s="10" t="s">
        <v>294</v>
      </c>
      <c r="B136" s="23" t="str">
        <f>VLOOKUP(A136,'HECVAT - Full | Vendor Response'!A$27:B$284,2,FALSE)</f>
        <v>Do you have a systems management and configuration strategy that encompasses servers, appliances, cloud services, applications, and mobile devices (company and employee owned)?</v>
      </c>
      <c r="C136" s="30" t="str">
        <f>IF(LEN(VLOOKUP($A136,Questions!$B:$AA,20,FALSE))=0,"",VLOOKUP($A136,Questions!$B:$AA,20,FALSE))</f>
        <v xml:space="preserve"> </v>
      </c>
      <c r="D136" s="102" t="str">
        <f>IF(LEN(VLOOKUP($A136,Questions!$B:$AA,21,FALSE))=0,"",VLOOKUP($A136,Questions!$B:$AA,21,FALSE))</f>
        <v xml:space="preserve"> </v>
      </c>
      <c r="E136" s="30" t="str">
        <f>IF(LEN(VLOOKUP($A136,Questions!$B:$AA,22,FALSE))=0,"",VLOOKUP($A136,Questions!$B:$AA,22,FALSE))</f>
        <v xml:space="preserve"> </v>
      </c>
      <c r="F136" s="30" t="str">
        <f>IF(LEN(VLOOKUP($A136,Questions!$B:$AA,23,FALSE))=0,"",VLOOKUP($A136,Questions!$B:$AA,23,FALSE))</f>
        <v xml:space="preserve"> </v>
      </c>
      <c r="G136" s="31" t="str">
        <f>IF(LEN(VLOOKUP($A136,Questions!$B:$AA,24,FALSE))=0,"",VLOOKUP($A136,Questions!$B:$AA,24,FALSE))</f>
        <v xml:space="preserve"> </v>
      </c>
      <c r="H136" s="30" t="str">
        <f>IF(LEN(VLOOKUP($A136,Questions!$B:$AA,25,FALSE))=0,"",VLOOKUP($A136,Questions!$B:$AA,25,FALSE))</f>
        <v xml:space="preserve"> </v>
      </c>
      <c r="I136" s="30" t="str">
        <f>IF(LEN(VLOOKUP($A136,Questions!$B:$AA,26,FALSE))=0,"",VLOOKUP($A136,Questions!$B:$AA,26,FALSE))</f>
        <v xml:space="preserve"> </v>
      </c>
      <c r="J136" s="30" t="str">
        <f>IF(LEN(VLOOKUP($A136,Questions!$B:$AB,27,FALSE))=0,"",VLOOKUP($A136,Questions!$B:$AB,27,FALSE))</f>
        <v xml:space="preserve"> </v>
      </c>
      <c r="K136" s="238" t="s">
        <v>3325</v>
      </c>
    </row>
    <row r="137" spans="1:11" ht="36" customHeight="1">
      <c r="A137" s="283" t="str">
        <f>IF($C$31="","Data",IF($C$31="Yes","Data - Optional based on QUALIFIER response.","Data"))</f>
        <v>Data</v>
      </c>
      <c r="B137" s="283"/>
      <c r="C137" s="18" t="str">
        <f>C$23</f>
        <v>CIS Critical Security Controls v6.1</v>
      </c>
      <c r="D137" s="18" t="str">
        <f t="shared" ref="D137:J137" si="9">D$23</f>
        <v>HIPAA</v>
      </c>
      <c r="E137" s="18" t="str">
        <f t="shared" si="9"/>
        <v>ISO 27002:27013</v>
      </c>
      <c r="F137" s="18" t="str">
        <f t="shared" si="9"/>
        <v>NIST Cybersecurity Framework</v>
      </c>
      <c r="G137" s="18" t="str">
        <f t="shared" si="9"/>
        <v>NIST SP 800-171r2</v>
      </c>
      <c r="H137" s="18" t="str">
        <f t="shared" si="9"/>
        <v>NIST SP 800-53r4</v>
      </c>
      <c r="I137" s="18" t="str">
        <f t="shared" si="9"/>
        <v>PCI DSS</v>
      </c>
      <c r="J137" s="18" t="str">
        <f t="shared" si="9"/>
        <v>Trusted CI</v>
      </c>
      <c r="K137"/>
    </row>
    <row r="138" spans="1:11" ht="48" customHeight="1">
      <c r="A138" s="10" t="s">
        <v>297</v>
      </c>
      <c r="B138" s="23" t="str">
        <f>VLOOKUP(A138,'HECVAT - Full | Vendor Response'!A$27:B$284,2,FALSE)</f>
        <v>Does the environment provide for dedicated single-tenant capabilities? If not, describe how your product or environment separates data from different customers (e.g., logically, physically, single tenancy, multi-tenancy).</v>
      </c>
      <c r="C138" s="30" t="str">
        <f>IF(LEN(VLOOKUP($A138,Questions!$B:$AA,20,FALSE))=0,"",VLOOKUP($A138,Questions!$B:$AA,20,FALSE))</f>
        <v xml:space="preserve"> </v>
      </c>
      <c r="D138" s="31" t="str">
        <f>IF(LEN(VLOOKUP($A138,Questions!$B:$AA,21,FALSE))=0,"",VLOOKUP($A138,Questions!$B:$AA,21,FALSE))</f>
        <v xml:space="preserve"> </v>
      </c>
      <c r="E138" s="31" t="str">
        <f>IF(LEN(VLOOKUP($A138,Questions!$B:$AA,22,FALSE))=0,"",VLOOKUP($A138,Questions!$B:$AA,22,FALSE))</f>
        <v xml:space="preserve"> </v>
      </c>
      <c r="F138" s="30" t="str">
        <f>IF(LEN(VLOOKUP($A138,Questions!$B:$AA,23,FALSE))=0,"",VLOOKUP($A138,Questions!$B:$AA,23,FALSE))</f>
        <v xml:space="preserve"> </v>
      </c>
      <c r="G138" s="30" t="str">
        <f>IF(LEN(VLOOKUP($A138,Questions!$B:$AA,24,FALSE))=0,"",VLOOKUP($A138,Questions!$B:$AA,24,FALSE))</f>
        <v xml:space="preserve"> </v>
      </c>
      <c r="H138" s="30" t="str">
        <f>IF(LEN(VLOOKUP($A138,Questions!$B:$AA,25,FALSE))=0,"",VLOOKUP($A138,Questions!$B:$AA,25,FALSE))</f>
        <v xml:space="preserve"> </v>
      </c>
      <c r="I138" s="30" t="str">
        <f>IF(LEN(VLOOKUP($A138,Questions!$B:$AA,26,FALSE))=0,"",VLOOKUP($A138,Questions!$B:$AA,26,FALSE))</f>
        <v xml:space="preserve"> </v>
      </c>
      <c r="J138" s="30" t="str">
        <f>IF(LEN(VLOOKUP($A138,Questions!$B:$AB,27,FALSE))=0,"",VLOOKUP($A138,Questions!$B:$AB,27,FALSE))</f>
        <v xml:space="preserve"> </v>
      </c>
      <c r="K138"/>
    </row>
    <row r="139" spans="1:11" ht="48" customHeight="1">
      <c r="A139" s="10" t="s">
        <v>299</v>
      </c>
      <c r="B139" s="23" t="str">
        <f>VLOOKUP(A139,'HECVAT - Full | Vendor Response'!A$27:B$284,2,FALSE)</f>
        <v>Will the institution's data be stored on any devices (database servers, file servers, SAN, NAS, etc.) configured with non-RFC 1918/4193 (i.e., publicly routable) IP addresses?</v>
      </c>
      <c r="C139" s="30" t="str">
        <f>IF(LEN(VLOOKUP($A139,Questions!$B:$AA,20,FALSE))=0,"",VLOOKUP($A139,Questions!$B:$AA,20,FALSE))</f>
        <v xml:space="preserve"> </v>
      </c>
      <c r="D139" s="31" t="str">
        <f>IF(LEN(VLOOKUP($A139,Questions!$B:$AA,21,FALSE))=0,"",VLOOKUP($A139,Questions!$B:$AA,21,FALSE))</f>
        <v xml:space="preserve"> </v>
      </c>
      <c r="E139" s="31" t="str">
        <f>IF(LEN(VLOOKUP($A139,Questions!$B:$AA,22,FALSE))=0,"",VLOOKUP($A139,Questions!$B:$AA,22,FALSE))</f>
        <v xml:space="preserve"> </v>
      </c>
      <c r="F139" s="30" t="str">
        <f>IF(LEN(VLOOKUP($A139,Questions!$B:$AA,23,FALSE))=0,"",VLOOKUP($A139,Questions!$B:$AA,23,FALSE))</f>
        <v xml:space="preserve"> </v>
      </c>
      <c r="G139" s="30" t="str">
        <f>IF(LEN(VLOOKUP($A139,Questions!$B:$AA,24,FALSE))=0,"",VLOOKUP($A139,Questions!$B:$AA,24,FALSE))</f>
        <v xml:space="preserve"> </v>
      </c>
      <c r="H139" s="30" t="str">
        <f>IF(LEN(VLOOKUP($A139,Questions!$B:$AA,25,FALSE))=0,"",VLOOKUP($A139,Questions!$B:$AA,25,FALSE))</f>
        <v xml:space="preserve"> </v>
      </c>
      <c r="I139" s="30" t="str">
        <f>IF(LEN(VLOOKUP($A139,Questions!$B:$AA,26,FALSE))=0,"",VLOOKUP($A139,Questions!$B:$AA,26,FALSE))</f>
        <v xml:space="preserve"> </v>
      </c>
      <c r="J139" s="30" t="str">
        <f>IF(LEN(VLOOKUP($A139,Questions!$B:$AB,27,FALSE))=0,"",VLOOKUP($A139,Questions!$B:$AB,27,FALSE))</f>
        <v xml:space="preserve"> </v>
      </c>
      <c r="K139"/>
    </row>
    <row r="140" spans="1:11" ht="48" customHeight="1">
      <c r="A140" s="10" t="s">
        <v>300</v>
      </c>
      <c r="B140" s="23" t="str">
        <f>VLOOKUP(A140,'HECVAT - Full | Vendor Response'!A$27:B$284,2,FALSE)</f>
        <v>Is sensitive data encrypted, using secure protocols/algorithms, in transport? (e.g., system-to-client)</v>
      </c>
      <c r="C140" s="30" t="str">
        <f>IF(LEN(VLOOKUP($A140,Questions!$B:$AA,20,FALSE))=0,"",VLOOKUP($A140,Questions!$B:$AA,20,FALSE))</f>
        <v xml:space="preserve"> </v>
      </c>
      <c r="D140" s="31" t="str">
        <f>IF(LEN(VLOOKUP($A140,Questions!$B:$AA,21,FALSE))=0,"",VLOOKUP($A140,Questions!$B:$AA,21,FALSE))</f>
        <v xml:space="preserve"> </v>
      </c>
      <c r="E140" s="30" t="str">
        <f>IF(LEN(VLOOKUP($A140,Questions!$B:$AA,22,FALSE))=0,"",VLOOKUP($A140,Questions!$B:$AA,22,FALSE))</f>
        <v xml:space="preserve"> </v>
      </c>
      <c r="F140" s="30" t="str">
        <f>IF(LEN(VLOOKUP($A140,Questions!$B:$AA,23,FALSE))=0,"",VLOOKUP($A140,Questions!$B:$AA,23,FALSE))</f>
        <v xml:space="preserve"> </v>
      </c>
      <c r="G140" s="31" t="str">
        <f>IF(LEN(VLOOKUP($A140,Questions!$B:$AA,24,FALSE))=0,"",VLOOKUP($A140,Questions!$B:$AA,24,FALSE))</f>
        <v xml:space="preserve"> </v>
      </c>
      <c r="H140" s="31" t="str">
        <f>IF(LEN(VLOOKUP($A140,Questions!$B:$AA,25,FALSE))=0,"",VLOOKUP($A140,Questions!$B:$AA,25,FALSE))</f>
        <v xml:space="preserve"> </v>
      </c>
      <c r="I140" s="30" t="str">
        <f>IF(LEN(VLOOKUP($A140,Questions!$B:$AA,26,FALSE))=0,"",VLOOKUP($A140,Questions!$B:$AA,26,FALSE))</f>
        <v xml:space="preserve"> </v>
      </c>
      <c r="J140" s="30" t="str">
        <f>IF(LEN(VLOOKUP($A140,Questions!$B:$AB,27,FALSE))=0,"",VLOOKUP($A140,Questions!$B:$AB,27,FALSE))</f>
        <v xml:space="preserve"> </v>
      </c>
      <c r="K140"/>
    </row>
    <row r="141" spans="1:11" ht="48" customHeight="1">
      <c r="A141" s="10" t="s">
        <v>302</v>
      </c>
      <c r="B141" s="23" t="str">
        <f>VLOOKUP(A141,'HECVAT - Full | Vendor Response'!A$27:B$284,2,FALSE)</f>
        <v>Is sensitive data encrypted, using secure protocols/algorithms, in storage? (e.g., disk encryption, at-rest, files, and within a running database)</v>
      </c>
      <c r="C141" s="30" t="str">
        <f>IF(LEN(VLOOKUP($A141,Questions!$B:$AA,20,FALSE))=0,"",VLOOKUP($A141,Questions!$B:$AA,20,FALSE))</f>
        <v xml:space="preserve"> </v>
      </c>
      <c r="D141" s="31" t="str">
        <f>IF(LEN(VLOOKUP($A141,Questions!$B:$AA,21,FALSE))=0,"",VLOOKUP($A141,Questions!$B:$AA,21,FALSE))</f>
        <v xml:space="preserve"> </v>
      </c>
      <c r="E141" s="30" t="str">
        <f>IF(LEN(VLOOKUP($A141,Questions!$B:$AA,22,FALSE))=0,"",VLOOKUP($A141,Questions!$B:$AA,22,FALSE))</f>
        <v xml:space="preserve"> </v>
      </c>
      <c r="F141" s="30" t="str">
        <f>IF(LEN(VLOOKUP($A141,Questions!$B:$AA,23,FALSE))=0,"",VLOOKUP($A141,Questions!$B:$AA,23,FALSE))</f>
        <v xml:space="preserve"> </v>
      </c>
      <c r="G141" s="30" t="str">
        <f>IF(LEN(VLOOKUP($A141,Questions!$B:$AA,24,FALSE))=0,"",VLOOKUP($A141,Questions!$B:$AA,24,FALSE))</f>
        <v xml:space="preserve"> </v>
      </c>
      <c r="H141" s="30" t="str">
        <f>IF(LEN(VLOOKUP($A141,Questions!$B:$AA,25,FALSE))=0,"",VLOOKUP($A141,Questions!$B:$AA,25,FALSE))</f>
        <v xml:space="preserve"> </v>
      </c>
      <c r="I141" s="30" t="str">
        <f>IF(LEN(VLOOKUP($A141,Questions!$B:$AA,26,FALSE))=0,"",VLOOKUP($A141,Questions!$B:$AA,26,FALSE))</f>
        <v xml:space="preserve"> </v>
      </c>
      <c r="J141" s="30" t="str">
        <f>IF(LEN(VLOOKUP($A141,Questions!$B:$AB,27,FALSE))=0,"",VLOOKUP($A141,Questions!$B:$AB,27,FALSE))</f>
        <v xml:space="preserve"> </v>
      </c>
      <c r="K141"/>
    </row>
    <row r="142" spans="1:11" ht="48" customHeight="1">
      <c r="A142" s="10" t="s">
        <v>304</v>
      </c>
      <c r="B142" s="23" t="str">
        <f>VLOOKUP(A142,'HECVAT - Full | Vendor Response'!A$27:B$284,2,FALSE)</f>
        <v>Do all cryptographic modules in use in your product conform to the Federal Information Processing Standards (FIPS PUB 140-3)?</v>
      </c>
      <c r="C142" s="30" t="str">
        <f>IF(LEN(VLOOKUP($A142,Questions!$B:$AA,20,FALSE))=0,"",VLOOKUP($A142,Questions!$B:$AA,20,FALSE))</f>
        <v xml:space="preserve"> </v>
      </c>
      <c r="D142" s="31" t="str">
        <f>IF(LEN(VLOOKUP($A142,Questions!$B:$AA,21,FALSE))=0,"",VLOOKUP($A142,Questions!$B:$AA,21,FALSE))</f>
        <v xml:space="preserve"> </v>
      </c>
      <c r="E142" s="30" t="str">
        <f>IF(LEN(VLOOKUP($A142,Questions!$B:$AA,22,FALSE))=0,"",VLOOKUP($A142,Questions!$B:$AA,22,FALSE))</f>
        <v xml:space="preserve"> </v>
      </c>
      <c r="F142" s="31" t="str">
        <f>IF(LEN(VLOOKUP($A142,Questions!$B:$AA,23,FALSE))=0,"",VLOOKUP($A142,Questions!$B:$AA,23,FALSE))</f>
        <v xml:space="preserve"> </v>
      </c>
      <c r="G142" s="30" t="str">
        <f>IF(LEN(VLOOKUP($A142,Questions!$B:$AA,24,FALSE))=0,"",VLOOKUP($A142,Questions!$B:$AA,24,FALSE))</f>
        <v xml:space="preserve"> </v>
      </c>
      <c r="H142" s="31" t="str">
        <f>IF(LEN(VLOOKUP($A142,Questions!$B:$AA,25,FALSE))=0,"",VLOOKUP($A142,Questions!$B:$AA,25,FALSE))</f>
        <v xml:space="preserve"> </v>
      </c>
      <c r="I142" s="30" t="str">
        <f>IF(LEN(VLOOKUP($A142,Questions!$B:$AA,26,FALSE))=0,"",VLOOKUP($A142,Questions!$B:$AA,26,FALSE))</f>
        <v xml:space="preserve"> </v>
      </c>
      <c r="J142" s="30" t="str">
        <f>IF(LEN(VLOOKUP($A142,Questions!$B:$AB,27,FALSE))=0,"",VLOOKUP($A142,Questions!$B:$AB,27,FALSE))</f>
        <v xml:space="preserve"> </v>
      </c>
      <c r="K142"/>
    </row>
    <row r="143" spans="1:11" ht="65.25" customHeight="1">
      <c r="A143" s="10" t="s">
        <v>306</v>
      </c>
      <c r="B143" s="23" t="str">
        <f>VLOOKUP(A143,'HECVAT - Full | Vendor Response'!A$27:B$284,2,FALSE)</f>
        <v>At the completion of this contract, will data be returned to the institution and deleted from all your systems and archives?</v>
      </c>
      <c r="C143" s="30" t="str">
        <f>IF(LEN(VLOOKUP($A143,Questions!$B:$AA,20,FALSE))=0,"",VLOOKUP($A143,Questions!$B:$AA,20,FALSE))</f>
        <v xml:space="preserve"> </v>
      </c>
      <c r="D143" s="31" t="str">
        <f>IF(LEN(VLOOKUP($A143,Questions!$B:$AA,21,FALSE))=0,"",VLOOKUP($A143,Questions!$B:$AA,21,FALSE))</f>
        <v xml:space="preserve"> </v>
      </c>
      <c r="E143" s="30" t="str">
        <f>IF(LEN(VLOOKUP($A143,Questions!$B:$AA,22,FALSE))=0,"",VLOOKUP($A143,Questions!$B:$AA,22,FALSE))</f>
        <v xml:space="preserve"> </v>
      </c>
      <c r="F143" s="30" t="str">
        <f>IF(LEN(VLOOKUP($A143,Questions!$B:$AA,23,FALSE))=0,"",VLOOKUP($A143,Questions!$B:$AA,23,FALSE))</f>
        <v xml:space="preserve"> </v>
      </c>
      <c r="G143" s="31" t="str">
        <f>IF(LEN(VLOOKUP($A143,Questions!$B:$AA,24,FALSE))=0,"",VLOOKUP($A143,Questions!$B:$AA,24,FALSE))</f>
        <v xml:space="preserve"> </v>
      </c>
      <c r="H143" s="30" t="str">
        <f>IF(LEN(VLOOKUP($A143,Questions!$B:$AA,25,FALSE))=0,"",VLOOKUP($A143,Questions!$B:$AA,25,FALSE))</f>
        <v xml:space="preserve"> </v>
      </c>
      <c r="I143" s="30" t="str">
        <f>IF(LEN(VLOOKUP($A143,Questions!$B:$AA,26,FALSE))=0,"",VLOOKUP($A143,Questions!$B:$AA,26,FALSE))</f>
        <v xml:space="preserve"> </v>
      </c>
      <c r="J143" s="30" t="str">
        <f>IF(LEN(VLOOKUP($A143,Questions!$B:$AB,27,FALSE))=0,"",VLOOKUP($A143,Questions!$B:$AB,27,FALSE))</f>
        <v xml:space="preserve"> </v>
      </c>
      <c r="K143"/>
    </row>
    <row r="144" spans="1:11" ht="60" customHeight="1">
      <c r="A144" s="10" t="s">
        <v>308</v>
      </c>
      <c r="B144" s="23" t="str">
        <f>VLOOKUP(A144,'HECVAT - Full | Vendor Response'!A$27:B$284,2,FALSE)</f>
        <v>Will the institution's data be available within the system for a period of time at the completion of this contract?</v>
      </c>
      <c r="C144" s="30" t="str">
        <f>IF(LEN(VLOOKUP($A144,Questions!$B:$AA,20,FALSE))=0,"",VLOOKUP($A144,Questions!$B:$AA,20,FALSE))</f>
        <v xml:space="preserve"> </v>
      </c>
      <c r="D144" s="31" t="str">
        <f>IF(LEN(VLOOKUP($A144,Questions!$B:$AA,21,FALSE))=0,"",VLOOKUP($A144,Questions!$B:$AA,21,FALSE))</f>
        <v xml:space="preserve"> </v>
      </c>
      <c r="E144" s="31" t="str">
        <f>IF(LEN(VLOOKUP($A144,Questions!$B:$AA,22,FALSE))=0,"",VLOOKUP($A144,Questions!$B:$AA,22,FALSE))</f>
        <v xml:space="preserve"> </v>
      </c>
      <c r="F144" s="31" t="str">
        <f>IF(LEN(VLOOKUP($A144,Questions!$B:$AA,23,FALSE))=0,"",VLOOKUP($A144,Questions!$B:$AA,23,FALSE))</f>
        <v xml:space="preserve"> </v>
      </c>
      <c r="G144" s="30" t="str">
        <f>IF(LEN(VLOOKUP($A144,Questions!$B:$AA,24,FALSE))=0,"",VLOOKUP($A144,Questions!$B:$AA,24,FALSE))</f>
        <v xml:space="preserve"> </v>
      </c>
      <c r="H144" s="30" t="str">
        <f>IF(LEN(VLOOKUP($A144,Questions!$B:$AA,25,FALSE))=0,"",VLOOKUP($A144,Questions!$B:$AA,25,FALSE))</f>
        <v xml:space="preserve"> </v>
      </c>
      <c r="I144" s="30" t="str">
        <f>IF(LEN(VLOOKUP($A144,Questions!$B:$AA,26,FALSE))=0,"",VLOOKUP($A144,Questions!$B:$AA,26,FALSE))</f>
        <v xml:space="preserve"> </v>
      </c>
      <c r="J144" s="30" t="str">
        <f>IF(LEN(VLOOKUP($A144,Questions!$B:$AB,27,FALSE))=0,"",VLOOKUP($A144,Questions!$B:$AB,27,FALSE))</f>
        <v xml:space="preserve"> </v>
      </c>
      <c r="K144"/>
    </row>
    <row r="145" spans="1:11" ht="36" customHeight="1">
      <c r="A145" s="10" t="s">
        <v>309</v>
      </c>
      <c r="B145" s="23" t="str">
        <f>VLOOKUP(A145,'HECVAT - Full | Vendor Response'!A$27:B$284,2,FALSE)</f>
        <v>Can the institution extract a full or partial backup of data?</v>
      </c>
      <c r="C145" s="30" t="str">
        <f>IF(LEN(VLOOKUP($A145,Questions!$B:$AA,20,FALSE))=0,"",VLOOKUP($A145,Questions!$B:$AA,20,FALSE))</f>
        <v xml:space="preserve"> </v>
      </c>
      <c r="D145" s="31" t="str">
        <f>IF(LEN(VLOOKUP($A145,Questions!$B:$AA,21,FALSE))=0,"",VLOOKUP($A145,Questions!$B:$AA,21,FALSE))</f>
        <v xml:space="preserve"> </v>
      </c>
      <c r="E145" s="30" t="str">
        <f>IF(LEN(VLOOKUP($A145,Questions!$B:$AA,22,FALSE))=0,"",VLOOKUP($A145,Questions!$B:$AA,22,FALSE))</f>
        <v xml:space="preserve"> </v>
      </c>
      <c r="F145" s="31" t="str">
        <f>IF(LEN(VLOOKUP($A145,Questions!$B:$AA,23,FALSE))=0,"",VLOOKUP($A145,Questions!$B:$AA,23,FALSE))</f>
        <v xml:space="preserve"> </v>
      </c>
      <c r="G145" s="30" t="str">
        <f>IF(LEN(VLOOKUP($A145,Questions!$B:$AA,24,FALSE))=0,"",VLOOKUP($A145,Questions!$B:$AA,24,FALSE))</f>
        <v xml:space="preserve"> </v>
      </c>
      <c r="H145" s="30" t="str">
        <f>IF(LEN(VLOOKUP($A145,Questions!$B:$AA,25,FALSE))=0,"",VLOOKUP($A145,Questions!$B:$AA,25,FALSE))</f>
        <v xml:space="preserve"> </v>
      </c>
      <c r="I145" s="30" t="str">
        <f>IF(LEN(VLOOKUP($A145,Questions!$B:$AA,26,FALSE))=0,"",VLOOKUP($A145,Questions!$B:$AA,26,FALSE))</f>
        <v xml:space="preserve"> </v>
      </c>
      <c r="J145" s="30" t="str">
        <f>IF(LEN(VLOOKUP($A145,Questions!$B:$AB,27,FALSE))=0,"",VLOOKUP($A145,Questions!$B:$AB,27,FALSE))</f>
        <v xml:space="preserve"> </v>
      </c>
      <c r="K145"/>
    </row>
    <row r="146" spans="1:11" ht="48" customHeight="1">
      <c r="A146" s="10" t="s">
        <v>311</v>
      </c>
      <c r="B146" s="23" t="str">
        <f>VLOOKUP(A146,'HECVAT - Full | Vendor Response'!A$27:B$284,2,FALSE)</f>
        <v>Are ownership rights to all data, inputs, outputs, and metadata retained by the institution?</v>
      </c>
      <c r="C146" s="30" t="str">
        <f>IF(LEN(VLOOKUP($A146,Questions!$B:$AA,20,FALSE))=0,"",VLOOKUP($A146,Questions!$B:$AA,20,FALSE))</f>
        <v xml:space="preserve"> </v>
      </c>
      <c r="D146" s="31" t="str">
        <f>IF(LEN(VLOOKUP($A146,Questions!$B:$AA,21,FALSE))=0,"",VLOOKUP($A146,Questions!$B:$AA,21,FALSE))</f>
        <v xml:space="preserve"> </v>
      </c>
      <c r="E146" s="30" t="str">
        <f>IF(LEN(VLOOKUP($A146,Questions!$B:$AA,22,FALSE))=0,"",VLOOKUP($A146,Questions!$B:$AA,22,FALSE))</f>
        <v xml:space="preserve"> </v>
      </c>
      <c r="F146" s="31" t="str">
        <f>IF(LEN(VLOOKUP($A146,Questions!$B:$AA,23,FALSE))=0,"",VLOOKUP($A146,Questions!$B:$AA,23,FALSE))</f>
        <v xml:space="preserve"> </v>
      </c>
      <c r="G146" s="31" t="str">
        <f>IF(LEN(VLOOKUP($A146,Questions!$B:$AA,24,FALSE))=0,"",VLOOKUP($A146,Questions!$B:$AA,24,FALSE))</f>
        <v xml:space="preserve"> </v>
      </c>
      <c r="H146" s="31" t="str">
        <f>IF(LEN(VLOOKUP($A146,Questions!$B:$AA,25,FALSE))=0,"",VLOOKUP($A146,Questions!$B:$AA,25,FALSE))</f>
        <v xml:space="preserve"> </v>
      </c>
      <c r="I146" s="30" t="str">
        <f>IF(LEN(VLOOKUP($A146,Questions!$B:$AA,26,FALSE))=0,"",VLOOKUP($A146,Questions!$B:$AA,26,FALSE))</f>
        <v xml:space="preserve"> </v>
      </c>
      <c r="J146" s="30" t="str">
        <f>IF(LEN(VLOOKUP($A146,Questions!$B:$AB,27,FALSE))=0,"",VLOOKUP($A146,Questions!$B:$AB,27,FALSE))</f>
        <v xml:space="preserve"> </v>
      </c>
      <c r="K146"/>
    </row>
    <row r="147" spans="1:11" ht="36" customHeight="1">
      <c r="A147" s="10" t="s">
        <v>313</v>
      </c>
      <c r="B147" s="23" t="str">
        <f>VLOOKUP(A147,'HECVAT - Full | Vendor Response'!A$27:B$284,2,FALSE)</f>
        <v>Are these rights retained even through a provider acquisition or bankruptcy event?</v>
      </c>
      <c r="C147" s="31" t="str">
        <f>IF(LEN(VLOOKUP($A147,Questions!$B:$AA,20,FALSE))=0,"",VLOOKUP($A147,Questions!$B:$AA,20,FALSE))</f>
        <v xml:space="preserve"> </v>
      </c>
      <c r="D147" s="31" t="str">
        <f>IF(LEN(VLOOKUP($A147,Questions!$B:$AA,21,FALSE))=0,"",VLOOKUP($A147,Questions!$B:$AA,21,FALSE))</f>
        <v xml:space="preserve"> </v>
      </c>
      <c r="E147" s="30" t="str">
        <f>IF(LEN(VLOOKUP($A147,Questions!$B:$AA,22,FALSE))=0,"",VLOOKUP($A147,Questions!$B:$AA,22,FALSE))</f>
        <v xml:space="preserve"> </v>
      </c>
      <c r="F147" s="31" t="str">
        <f>IF(LEN(VLOOKUP($A147,Questions!$B:$AA,23,FALSE))=0,"",VLOOKUP($A147,Questions!$B:$AA,23,FALSE))</f>
        <v xml:space="preserve"> </v>
      </c>
      <c r="G147" s="31" t="str">
        <f>IF(LEN(VLOOKUP($A147,Questions!$B:$AA,24,FALSE))=0,"",VLOOKUP($A147,Questions!$B:$AA,24,FALSE))</f>
        <v xml:space="preserve"> </v>
      </c>
      <c r="H147" s="31" t="str">
        <f>IF(LEN(VLOOKUP($A147,Questions!$B:$AA,25,FALSE))=0,"",VLOOKUP($A147,Questions!$B:$AA,25,FALSE))</f>
        <v xml:space="preserve"> </v>
      </c>
      <c r="I147" s="30" t="str">
        <f>IF(LEN(VLOOKUP($A147,Questions!$B:$AA,26,FALSE))=0,"",VLOOKUP($A147,Questions!$B:$AA,26,FALSE))</f>
        <v xml:space="preserve"> </v>
      </c>
      <c r="J147" s="30" t="str">
        <f>IF(LEN(VLOOKUP($A147,Questions!$B:$AB,27,FALSE))=0,"",VLOOKUP($A147,Questions!$B:$AB,27,FALSE))</f>
        <v xml:space="preserve"> </v>
      </c>
      <c r="K147"/>
    </row>
    <row r="148" spans="1:11" ht="48" customHeight="1">
      <c r="A148" s="10" t="s">
        <v>314</v>
      </c>
      <c r="B148" s="23" t="str">
        <f>VLOOKUP(A148,'HECVAT - Full | Vendor Response'!A$27:B$284,2,FALSE)</f>
        <v>In the event of imminent bankruptcy, closing of business, or retirement of service, will you provide 90 days for customers to get their data out of the system and migrate applications?</v>
      </c>
      <c r="C148" s="30" t="str">
        <f>IF(LEN(VLOOKUP($A148,Questions!$B:$AA,20,FALSE))=0,"",VLOOKUP($A148,Questions!$B:$AA,20,FALSE))</f>
        <v xml:space="preserve"> </v>
      </c>
      <c r="D148" s="31" t="str">
        <f>IF(LEN(VLOOKUP($A148,Questions!$B:$AA,21,FALSE))=0,"",VLOOKUP($A148,Questions!$B:$AA,21,FALSE))</f>
        <v xml:space="preserve"> </v>
      </c>
      <c r="E148" s="30" t="str">
        <f>IF(LEN(VLOOKUP($A148,Questions!$B:$AA,22,FALSE))=0,"",VLOOKUP($A148,Questions!$B:$AA,22,FALSE))</f>
        <v xml:space="preserve"> </v>
      </c>
      <c r="F148" s="31" t="str">
        <f>IF(LEN(VLOOKUP($A148,Questions!$B:$AA,23,FALSE))=0,"",VLOOKUP($A148,Questions!$B:$AA,23,FALSE))</f>
        <v xml:space="preserve"> </v>
      </c>
      <c r="G148" s="30" t="str">
        <f>IF(LEN(VLOOKUP($A148,Questions!$B:$AA,24,FALSE))=0,"",VLOOKUP($A148,Questions!$B:$AA,24,FALSE))</f>
        <v xml:space="preserve"> </v>
      </c>
      <c r="H148" s="31" t="str">
        <f>IF(LEN(VLOOKUP($A148,Questions!$B:$AA,25,FALSE))=0,"",VLOOKUP($A148,Questions!$B:$AA,25,FALSE))</f>
        <v xml:space="preserve"> </v>
      </c>
      <c r="I148" s="30" t="str">
        <f>IF(LEN(VLOOKUP($A148,Questions!$B:$AA,26,FALSE))=0,"",VLOOKUP($A148,Questions!$B:$AA,26,FALSE))</f>
        <v xml:space="preserve"> </v>
      </c>
      <c r="J148" s="30" t="str">
        <f>IF(LEN(VLOOKUP($A148,Questions!$B:$AB,27,FALSE))=0,"",VLOOKUP($A148,Questions!$B:$AB,27,FALSE))</f>
        <v xml:space="preserve"> </v>
      </c>
      <c r="K148"/>
    </row>
    <row r="149" spans="1:11" ht="36" customHeight="1">
      <c r="A149" s="10" t="s">
        <v>316</v>
      </c>
      <c r="B149" s="23" t="str">
        <f>VLOOKUP(A149,'HECVAT - Full | Vendor Response'!A$27:B$284,2,FALSE)</f>
        <v>Are involatile backup copies made according to predefined schedules and securely stored and protected?</v>
      </c>
      <c r="C149" s="30" t="str">
        <f>IF(LEN(VLOOKUP($A149,Questions!$B:$AA,20,FALSE))=0,"",VLOOKUP($A149,Questions!$B:$AA,20,FALSE))</f>
        <v xml:space="preserve"> </v>
      </c>
      <c r="D149" s="31" t="str">
        <f>IF(LEN(VLOOKUP($A149,Questions!$B:$AA,21,FALSE))=0,"",VLOOKUP($A149,Questions!$B:$AA,21,FALSE))</f>
        <v xml:space="preserve"> </v>
      </c>
      <c r="E149" s="30" t="str">
        <f>IF(LEN(VLOOKUP($A149,Questions!$B:$AA,22,FALSE))=0,"",VLOOKUP($A149,Questions!$B:$AA,22,FALSE))</f>
        <v xml:space="preserve"> </v>
      </c>
      <c r="F149" s="31" t="str">
        <f>IF(LEN(VLOOKUP($A149,Questions!$B:$AA,23,FALSE))=0,"",VLOOKUP($A149,Questions!$B:$AA,23,FALSE))</f>
        <v xml:space="preserve"> </v>
      </c>
      <c r="G149" s="30" t="str">
        <f>IF(LEN(VLOOKUP($A149,Questions!$B:$AA,24,FALSE))=0,"",VLOOKUP($A149,Questions!$B:$AA,24,FALSE))</f>
        <v xml:space="preserve"> </v>
      </c>
      <c r="H149" s="31" t="str">
        <f>IF(LEN(VLOOKUP($A149,Questions!$B:$AA,25,FALSE))=0,"",VLOOKUP($A149,Questions!$B:$AA,25,FALSE))</f>
        <v xml:space="preserve"> </v>
      </c>
      <c r="I149" s="30" t="str">
        <f>IF(LEN(VLOOKUP($A149,Questions!$B:$AA,26,FALSE))=0,"",VLOOKUP($A149,Questions!$B:$AA,26,FALSE))</f>
        <v xml:space="preserve"> </v>
      </c>
      <c r="J149" s="30" t="str">
        <f>IF(LEN(VLOOKUP($A149,Questions!$B:$AB,27,FALSE))=0,"",VLOOKUP($A149,Questions!$B:$AB,27,FALSE))</f>
        <v xml:space="preserve"> </v>
      </c>
      <c r="K149"/>
    </row>
    <row r="150" spans="1:11" ht="54" customHeight="1">
      <c r="A150" s="10" t="s">
        <v>318</v>
      </c>
      <c r="B150" s="23" t="str">
        <f>VLOOKUP(A150,'HECVAT - Full | Vendor Response'!A$27:B$284,2,FALSE)</f>
        <v>Do current backups include all operating system software, utilities, security software, application software, and data files necessary for recovery?</v>
      </c>
      <c r="C150" s="30" t="str">
        <f>IF(LEN(VLOOKUP($A150,Questions!$B:$AA,20,FALSE))=0,"",VLOOKUP($A150,Questions!$B:$AA,20,FALSE))</f>
        <v xml:space="preserve"> </v>
      </c>
      <c r="D150" s="31" t="str">
        <f>IF(LEN(VLOOKUP($A150,Questions!$B:$AA,21,FALSE))=0,"",VLOOKUP($A150,Questions!$B:$AA,21,FALSE))</f>
        <v xml:space="preserve"> </v>
      </c>
      <c r="E150" s="30" t="str">
        <f>IF(LEN(VLOOKUP($A150,Questions!$B:$AA,22,FALSE))=0,"",VLOOKUP($A150,Questions!$B:$AA,22,FALSE))</f>
        <v xml:space="preserve"> </v>
      </c>
      <c r="F150" s="31" t="str">
        <f>IF(LEN(VLOOKUP($A150,Questions!$B:$AA,23,FALSE))=0,"",VLOOKUP($A150,Questions!$B:$AA,23,FALSE))</f>
        <v xml:space="preserve"> </v>
      </c>
      <c r="G150" s="30" t="str">
        <f>IF(LEN(VLOOKUP($A150,Questions!$B:$AA,24,FALSE))=0,"",VLOOKUP($A150,Questions!$B:$AA,24,FALSE))</f>
        <v xml:space="preserve"> </v>
      </c>
      <c r="H150" s="31" t="str">
        <f>IF(LEN(VLOOKUP($A150,Questions!$B:$AA,25,FALSE))=0,"",VLOOKUP($A150,Questions!$B:$AA,25,FALSE))</f>
        <v xml:space="preserve"> </v>
      </c>
      <c r="I150" s="30" t="str">
        <f>IF(LEN(VLOOKUP($A150,Questions!$B:$AA,26,FALSE))=0,"",VLOOKUP($A150,Questions!$B:$AA,26,FALSE))</f>
        <v xml:space="preserve"> </v>
      </c>
      <c r="J150" s="30" t="str">
        <f>IF(LEN(VLOOKUP($A150,Questions!$B:$AB,27,FALSE))=0,"",VLOOKUP($A150,Questions!$B:$AB,27,FALSE))</f>
        <v xml:space="preserve"> </v>
      </c>
      <c r="K150"/>
    </row>
    <row r="151" spans="1:11" ht="48" customHeight="1">
      <c r="A151" s="10" t="s">
        <v>320</v>
      </c>
      <c r="B151" s="23" t="str">
        <f>VLOOKUP(A151,'HECVAT - Full | Vendor Response'!A$27:B$284,2,FALSE)</f>
        <v>Are you performing off-site backups? (i.e., digitally moved off site)</v>
      </c>
      <c r="C151" s="30" t="str">
        <f>IF(LEN(VLOOKUP($A151,Questions!$B:$AA,20,FALSE))=0,"",VLOOKUP($A151,Questions!$B:$AA,20,FALSE))</f>
        <v xml:space="preserve"> </v>
      </c>
      <c r="D151" s="31" t="str">
        <f>IF(LEN(VLOOKUP($A151,Questions!$B:$AA,21,FALSE))=0,"",VLOOKUP($A151,Questions!$B:$AA,21,FALSE))</f>
        <v xml:space="preserve"> </v>
      </c>
      <c r="E151" s="30" t="str">
        <f>IF(LEN(VLOOKUP($A151,Questions!$B:$AA,22,FALSE))=0,"",VLOOKUP($A151,Questions!$B:$AA,22,FALSE))</f>
        <v xml:space="preserve"> </v>
      </c>
      <c r="F151" s="30" t="str">
        <f>IF(LEN(VLOOKUP($A151,Questions!$B:$AA,23,FALSE))=0,"",VLOOKUP($A151,Questions!$B:$AA,23,FALSE))</f>
        <v xml:space="preserve"> </v>
      </c>
      <c r="G151" s="30" t="str">
        <f>IF(LEN(VLOOKUP($A151,Questions!$B:$AA,24,FALSE))=0,"",VLOOKUP($A151,Questions!$B:$AA,24,FALSE))</f>
        <v xml:space="preserve"> </v>
      </c>
      <c r="H151" s="30" t="str">
        <f>IF(LEN(VLOOKUP($A151,Questions!$B:$AA,25,FALSE))=0,"",VLOOKUP($A151,Questions!$B:$AA,25,FALSE))</f>
        <v xml:space="preserve"> </v>
      </c>
      <c r="I151" s="30" t="str">
        <f>IF(LEN(VLOOKUP($A151,Questions!$B:$AA,26,FALSE))=0,"",VLOOKUP($A151,Questions!$B:$AA,26,FALSE))</f>
        <v xml:space="preserve"> </v>
      </c>
      <c r="J151" s="30" t="str">
        <f>IF(LEN(VLOOKUP($A151,Questions!$B:$AB,27,FALSE))=0,"",VLOOKUP($A151,Questions!$B:$AB,27,FALSE))</f>
        <v xml:space="preserve"> </v>
      </c>
      <c r="K151"/>
    </row>
    <row r="152" spans="1:11" ht="48" customHeight="1">
      <c r="A152" s="10" t="s">
        <v>322</v>
      </c>
      <c r="B152" s="23" t="str">
        <f>VLOOKUP(A152,'HECVAT - Full | Vendor Response'!A$27:B$284,2,FALSE)</f>
        <v>Are physical backups taken off site? (i.e., physically moved off site)</v>
      </c>
      <c r="C152" s="30" t="str">
        <f>IF(LEN(VLOOKUP($A152,Questions!$B:$AA,20,FALSE))=0,"",VLOOKUP($A152,Questions!$B:$AA,20,FALSE))</f>
        <v xml:space="preserve"> </v>
      </c>
      <c r="D152" s="31" t="str">
        <f>IF(LEN(VLOOKUP($A152,Questions!$B:$AA,21,FALSE))=0,"",VLOOKUP($A152,Questions!$B:$AA,21,FALSE))</f>
        <v xml:space="preserve"> </v>
      </c>
      <c r="E152" s="30" t="str">
        <f>IF(LEN(VLOOKUP($A152,Questions!$B:$AA,22,FALSE))=0,"",VLOOKUP($A152,Questions!$B:$AA,22,FALSE))</f>
        <v xml:space="preserve"> </v>
      </c>
      <c r="F152" s="30" t="str">
        <f>IF(LEN(VLOOKUP($A152,Questions!$B:$AA,23,FALSE))=0,"",VLOOKUP($A152,Questions!$B:$AA,23,FALSE))</f>
        <v xml:space="preserve"> </v>
      </c>
      <c r="G152" s="30" t="str">
        <f>IF(LEN(VLOOKUP($A152,Questions!$B:$AA,24,FALSE))=0,"",VLOOKUP($A152,Questions!$B:$AA,24,FALSE))</f>
        <v xml:space="preserve"> </v>
      </c>
      <c r="H152" s="30" t="str">
        <f>IF(LEN(VLOOKUP($A152,Questions!$B:$AA,25,FALSE))=0,"",VLOOKUP($A152,Questions!$B:$AA,25,FALSE))</f>
        <v xml:space="preserve"> </v>
      </c>
      <c r="I152" s="30" t="str">
        <f>IF(LEN(VLOOKUP($A152,Questions!$B:$AA,26,FALSE))=0,"",VLOOKUP($A152,Questions!$B:$AA,26,FALSE))</f>
        <v xml:space="preserve"> </v>
      </c>
      <c r="J152" s="30" t="str">
        <f>IF(LEN(VLOOKUP($A152,Questions!$B:$AB,27,FALSE))=0,"",VLOOKUP($A152,Questions!$B:$AB,27,FALSE))</f>
        <v xml:space="preserve"> </v>
      </c>
      <c r="K152"/>
    </row>
    <row r="153" spans="1:11" ht="36" customHeight="1">
      <c r="A153" s="10" t="s">
        <v>324</v>
      </c>
      <c r="B153" s="23" t="str">
        <f>VLOOKUP(A153,'HECVAT - Full | Vendor Response'!A$27:B$284,2,FALSE)</f>
        <v>Do backups containing the institution's data ever leave the institution's data zone either physically or via network routing?</v>
      </c>
      <c r="C153" s="30" t="str">
        <f>IF(LEN(VLOOKUP($A153,Questions!$B:$AA,20,FALSE))=0,"",VLOOKUP($A153,Questions!$B:$AA,20,FALSE))</f>
        <v xml:space="preserve"> </v>
      </c>
      <c r="D153" s="31" t="str">
        <f>IF(LEN(VLOOKUP($A153,Questions!$B:$AA,21,FALSE))=0,"",VLOOKUP($A153,Questions!$B:$AA,21,FALSE))</f>
        <v xml:space="preserve"> </v>
      </c>
      <c r="E153" s="30" t="str">
        <f>IF(LEN(VLOOKUP($A153,Questions!$B:$AA,22,FALSE))=0,"",VLOOKUP($A153,Questions!$B:$AA,22,FALSE))</f>
        <v xml:space="preserve"> </v>
      </c>
      <c r="F153" s="30" t="str">
        <f>IF(LEN(VLOOKUP($A153,Questions!$B:$AA,23,FALSE))=0,"",VLOOKUP($A153,Questions!$B:$AA,23,FALSE))</f>
        <v xml:space="preserve"> </v>
      </c>
      <c r="G153" s="30" t="str">
        <f>IF(LEN(VLOOKUP($A153,Questions!$B:$AA,24,FALSE))=0,"",VLOOKUP($A153,Questions!$B:$AA,24,FALSE))</f>
        <v xml:space="preserve"> </v>
      </c>
      <c r="H153" s="30" t="str">
        <f>IF(LEN(VLOOKUP($A153,Questions!$B:$AA,25,FALSE))=0,"",VLOOKUP($A153,Questions!$B:$AA,25,FALSE))</f>
        <v xml:space="preserve"> </v>
      </c>
      <c r="I153" s="31" t="str">
        <f>IF(LEN(VLOOKUP($A153,Questions!$B:$AA,26,FALSE))=0,"",VLOOKUP($A153,Questions!$B:$AA,26,FALSE))</f>
        <v xml:space="preserve"> </v>
      </c>
      <c r="J153" s="31" t="str">
        <f>IF(LEN(VLOOKUP($A153,Questions!$B:$AB,27,FALSE))=0,"",VLOOKUP($A153,Questions!$B:$AB,27,FALSE))</f>
        <v xml:space="preserve"> </v>
      </c>
      <c r="K153"/>
    </row>
    <row r="154" spans="1:11" ht="36" customHeight="1">
      <c r="A154" s="10" t="s">
        <v>326</v>
      </c>
      <c r="B154" s="23" t="str">
        <f>VLOOKUP(A154,'HECVAT - Full | Vendor Response'!A$27:B$284,2,FALSE)</f>
        <v>Are data backups encrypted?</v>
      </c>
      <c r="C154" s="30" t="str">
        <f>IF(LEN(VLOOKUP($A154,Questions!$B:$AA,20,FALSE))=0,"",VLOOKUP($A154,Questions!$B:$AA,20,FALSE))</f>
        <v xml:space="preserve"> </v>
      </c>
      <c r="D154" s="31" t="str">
        <f>IF(LEN(VLOOKUP($A154,Questions!$B:$AA,21,FALSE))=0,"",VLOOKUP($A154,Questions!$B:$AA,21,FALSE))</f>
        <v xml:space="preserve"> </v>
      </c>
      <c r="E154" s="30" t="str">
        <f>IF(LEN(VLOOKUP($A154,Questions!$B:$AA,22,FALSE))=0,"",VLOOKUP($A154,Questions!$B:$AA,22,FALSE))</f>
        <v xml:space="preserve"> </v>
      </c>
      <c r="F154" s="30" t="str">
        <f>IF(LEN(VLOOKUP($A154,Questions!$B:$AA,23,FALSE))=0,"",VLOOKUP($A154,Questions!$B:$AA,23,FALSE))</f>
        <v xml:space="preserve"> </v>
      </c>
      <c r="G154" s="30" t="str">
        <f>IF(LEN(VLOOKUP($A154,Questions!$B:$AA,24,FALSE))=0,"",VLOOKUP($A154,Questions!$B:$AA,24,FALSE))</f>
        <v xml:space="preserve"> </v>
      </c>
      <c r="H154" s="30" t="str">
        <f>IF(LEN(VLOOKUP($A154,Questions!$B:$AA,25,FALSE))=0,"",VLOOKUP($A154,Questions!$B:$AA,25,FALSE))</f>
        <v xml:space="preserve"> </v>
      </c>
      <c r="I154" s="31" t="str">
        <f>IF(LEN(VLOOKUP($A154,Questions!$B:$AA,26,FALSE))=0,"",VLOOKUP($A154,Questions!$B:$AA,26,FALSE))</f>
        <v xml:space="preserve"> </v>
      </c>
      <c r="J154" s="31" t="str">
        <f>IF(LEN(VLOOKUP($A154,Questions!$B:$AB,27,FALSE))=0,"",VLOOKUP($A154,Questions!$B:$AB,27,FALSE))</f>
        <v xml:space="preserve"> </v>
      </c>
      <c r="K154"/>
    </row>
    <row r="155" spans="1:11" ht="72" customHeight="1">
      <c r="A155" s="10" t="s">
        <v>328</v>
      </c>
      <c r="B155" s="23" t="str">
        <f>VLOOKUP(A155,'HECVAT - Full | Vendor Response'!A$27:B$284,2,FALSE)</f>
        <v>Do you have a cryptographic key management process (generation, exchange, storage, safeguards, use, vetting, and replacement) that is documented and currently implemented, for all system components? (e.g., database, system, web, etc.)</v>
      </c>
      <c r="C155" s="30" t="str">
        <f>IF(LEN(VLOOKUP($A155,Questions!$B:$AA,20,FALSE))=0,"",VLOOKUP($A155,Questions!$B:$AA,20,FALSE))</f>
        <v xml:space="preserve"> </v>
      </c>
      <c r="D155" s="31" t="str">
        <f>IF(LEN(VLOOKUP($A155,Questions!$B:$AA,21,FALSE))=0,"",VLOOKUP($A155,Questions!$B:$AA,21,FALSE))</f>
        <v xml:space="preserve"> </v>
      </c>
      <c r="E155" s="30" t="str">
        <f>IF(LEN(VLOOKUP($A155,Questions!$B:$AA,22,FALSE))=0,"",VLOOKUP($A155,Questions!$B:$AA,22,FALSE))</f>
        <v xml:space="preserve"> </v>
      </c>
      <c r="F155" s="31" t="str">
        <f>IF(LEN(VLOOKUP($A155,Questions!$B:$AA,23,FALSE))=0,"",VLOOKUP($A155,Questions!$B:$AA,23,FALSE))</f>
        <v xml:space="preserve"> </v>
      </c>
      <c r="G155" s="30" t="str">
        <f>IF(LEN(VLOOKUP($A155,Questions!$B:$AA,24,FALSE))=0,"",VLOOKUP($A155,Questions!$B:$AA,24,FALSE))</f>
        <v xml:space="preserve"> </v>
      </c>
      <c r="H155" s="30" t="str">
        <f>IF(LEN(VLOOKUP($A155,Questions!$B:$AA,25,FALSE))=0,"",VLOOKUP($A155,Questions!$B:$AA,25,FALSE))</f>
        <v xml:space="preserve"> </v>
      </c>
      <c r="I155" s="31" t="str">
        <f>IF(LEN(VLOOKUP($A155,Questions!$B:$AA,26,FALSE))=0,"",VLOOKUP($A155,Questions!$B:$AA,26,FALSE))</f>
        <v xml:space="preserve"> </v>
      </c>
      <c r="J155" s="31" t="str">
        <f>IF(LEN(VLOOKUP($A155,Questions!$B:$AB,27,FALSE))=0,"",VLOOKUP($A155,Questions!$B:$AB,27,FALSE))</f>
        <v xml:space="preserve"> </v>
      </c>
      <c r="K155"/>
    </row>
    <row r="156" spans="1:11" ht="48" customHeight="1">
      <c r="A156" s="10" t="s">
        <v>330</v>
      </c>
      <c r="B156" s="23" t="str">
        <f>VLOOKUP(A156,'HECVAT - Full | Vendor Response'!A$27:B$284,2,FALSE)</f>
        <v>Do you have a media handling process that is documented and currently implemented that meets established business needs and regulatory requirements, including end-of-life, repurposing and data sanitization procedures?</v>
      </c>
      <c r="C156" s="30" t="str">
        <f>IF(LEN(VLOOKUP($A156,Questions!$B:$AA,20,FALSE))=0,"",VLOOKUP($A156,Questions!$B:$AA,20,FALSE))</f>
        <v xml:space="preserve"> </v>
      </c>
      <c r="D156" s="31" t="str">
        <f>IF(LEN(VLOOKUP($A156,Questions!$B:$AA,21,FALSE))=0,"",VLOOKUP($A156,Questions!$B:$AA,21,FALSE))</f>
        <v xml:space="preserve"> </v>
      </c>
      <c r="E156" s="30" t="str">
        <f>IF(LEN(VLOOKUP($A156,Questions!$B:$AA,22,FALSE))=0,"",VLOOKUP($A156,Questions!$B:$AA,22,FALSE))</f>
        <v xml:space="preserve"> </v>
      </c>
      <c r="F156" s="30" t="str">
        <f>IF(LEN(VLOOKUP($A156,Questions!$B:$AA,23,FALSE))=0,"",VLOOKUP($A156,Questions!$B:$AA,23,FALSE))</f>
        <v xml:space="preserve"> </v>
      </c>
      <c r="G156" s="30" t="str">
        <f>IF(LEN(VLOOKUP($A156,Questions!$B:$AA,24,FALSE))=0,"",VLOOKUP($A156,Questions!$B:$AA,24,FALSE))</f>
        <v xml:space="preserve"> </v>
      </c>
      <c r="H156" s="30" t="str">
        <f>IF(LEN(VLOOKUP($A156,Questions!$B:$AA,25,FALSE))=0,"",VLOOKUP($A156,Questions!$B:$AA,25,FALSE))</f>
        <v xml:space="preserve"> </v>
      </c>
      <c r="I156" s="31" t="str">
        <f>IF(LEN(VLOOKUP($A156,Questions!$B:$AA,26,FALSE))=0,"",VLOOKUP($A156,Questions!$B:$AA,26,FALSE))</f>
        <v xml:space="preserve"> </v>
      </c>
      <c r="J156" s="31" t="str">
        <f>IF(LEN(VLOOKUP($A156,Questions!$B:$AB,27,FALSE))=0,"",VLOOKUP($A156,Questions!$B:$AB,27,FALSE))</f>
        <v xml:space="preserve"> </v>
      </c>
      <c r="K156"/>
    </row>
    <row r="157" spans="1:11" ht="36" customHeight="1">
      <c r="A157" s="10" t="s">
        <v>332</v>
      </c>
      <c r="B157" s="23" t="str">
        <f>VLOOKUP(A157,'HECVAT - Full | Vendor Response'!A$27:B$284,2,FALSE)</f>
        <v>Does the process described in DATA-19 adhere to DoD 5220.22-M and/or NIST SP 800-88 standards?</v>
      </c>
      <c r="C157" s="30" t="str">
        <f>IF(LEN(VLOOKUP($A157,Questions!$B:$AA,20,FALSE))=0,"",VLOOKUP($A157,Questions!$B:$AA,20,FALSE))</f>
        <v xml:space="preserve"> </v>
      </c>
      <c r="D157" s="31" t="str">
        <f>IF(LEN(VLOOKUP($A157,Questions!$B:$AA,21,FALSE))=0,"",VLOOKUP($A157,Questions!$B:$AA,21,FALSE))</f>
        <v xml:space="preserve"> </v>
      </c>
      <c r="E157" s="30" t="str">
        <f>IF(LEN(VLOOKUP($A157,Questions!$B:$AA,22,FALSE))=0,"",VLOOKUP($A157,Questions!$B:$AA,22,FALSE))</f>
        <v xml:space="preserve"> </v>
      </c>
      <c r="F157" s="30" t="str">
        <f>IF(LEN(VLOOKUP($A157,Questions!$B:$AA,23,FALSE))=0,"",VLOOKUP($A157,Questions!$B:$AA,23,FALSE))</f>
        <v xml:space="preserve"> </v>
      </c>
      <c r="G157" s="30" t="str">
        <f>IF(LEN(VLOOKUP($A157,Questions!$B:$AA,24,FALSE))=0,"",VLOOKUP($A157,Questions!$B:$AA,24,FALSE))</f>
        <v xml:space="preserve"> </v>
      </c>
      <c r="H157" s="30" t="str">
        <f>IF(LEN(VLOOKUP($A157,Questions!$B:$AA,25,FALSE))=0,"",VLOOKUP($A157,Questions!$B:$AA,25,FALSE))</f>
        <v xml:space="preserve"> </v>
      </c>
      <c r="I157" s="30" t="str">
        <f>IF(LEN(VLOOKUP($A157,Questions!$B:$AA,26,FALSE))=0,"",VLOOKUP($A157,Questions!$B:$AA,26,FALSE))</f>
        <v xml:space="preserve"> </v>
      </c>
      <c r="J157" s="30" t="str">
        <f>IF(LEN(VLOOKUP($A157,Questions!$B:$AB,27,FALSE))=0,"",VLOOKUP($A157,Questions!$B:$AB,27,FALSE))</f>
        <v xml:space="preserve"> </v>
      </c>
      <c r="K157"/>
    </row>
    <row r="158" spans="1:11" ht="48" customHeight="1">
      <c r="A158" s="10" t="s">
        <v>333</v>
      </c>
      <c r="B158" s="23" t="str">
        <f>VLOOKUP(A158,'HECVAT - Full | Vendor Response'!A$27:B$284,2,FALSE)</f>
        <v>Is media used for long-term retention of business data and archival purposes stored in a secure, environmentally protected area?</v>
      </c>
      <c r="C158" s="30" t="str">
        <f>IF(LEN(VLOOKUP($A158,Questions!$B:$AA,20,FALSE))=0,"",VLOOKUP($A158,Questions!$B:$AA,20,FALSE))</f>
        <v xml:space="preserve"> </v>
      </c>
      <c r="D158" s="31" t="str">
        <f>IF(LEN(VLOOKUP($A158,Questions!$B:$AA,21,FALSE))=0,"",VLOOKUP($A158,Questions!$B:$AA,21,FALSE))</f>
        <v xml:space="preserve"> </v>
      </c>
      <c r="E158" s="30" t="str">
        <f>IF(LEN(VLOOKUP($A158,Questions!$B:$AA,22,FALSE))=0,"",VLOOKUP($A158,Questions!$B:$AA,22,FALSE))</f>
        <v xml:space="preserve"> </v>
      </c>
      <c r="F158" s="30" t="str">
        <f>IF(LEN(VLOOKUP($A158,Questions!$B:$AA,23,FALSE))=0,"",VLOOKUP($A158,Questions!$B:$AA,23,FALSE))</f>
        <v xml:space="preserve"> </v>
      </c>
      <c r="G158" s="30" t="str">
        <f>IF(LEN(VLOOKUP($A158,Questions!$B:$AA,24,FALSE))=0,"",VLOOKUP($A158,Questions!$B:$AA,24,FALSE))</f>
        <v xml:space="preserve"> </v>
      </c>
      <c r="H158" s="30" t="str">
        <f>IF(LEN(VLOOKUP($A158,Questions!$B:$AA,25,FALSE))=0,"",VLOOKUP($A158,Questions!$B:$AA,25,FALSE))</f>
        <v xml:space="preserve"> </v>
      </c>
      <c r="I158" s="30" t="str">
        <f>IF(LEN(VLOOKUP($A158,Questions!$B:$AA,26,FALSE))=0,"",VLOOKUP($A158,Questions!$B:$AA,26,FALSE))</f>
        <v xml:space="preserve"> </v>
      </c>
      <c r="J158" s="30" t="str">
        <f>IF(LEN(VLOOKUP($A158,Questions!$B:$AB,27,FALSE))=0,"",VLOOKUP($A158,Questions!$B:$AB,27,FALSE))</f>
        <v xml:space="preserve"> </v>
      </c>
      <c r="K158"/>
    </row>
    <row r="159" spans="1:11" ht="48" customHeight="1">
      <c r="A159" s="10" t="s">
        <v>335</v>
      </c>
      <c r="B159" s="23" t="str">
        <f>VLOOKUP(A159,'HECVAT - Full | Vendor Response'!A$27:B$284,2,FALSE)</f>
        <v>Will you handle data in a FERPA-compliant manner?</v>
      </c>
      <c r="C159" s="30" t="str">
        <f>IF(LEN(VLOOKUP($A159,Questions!$B:$AA,20,FALSE))=0,"",VLOOKUP($A159,Questions!$B:$AA,20,FALSE))</f>
        <v xml:space="preserve"> </v>
      </c>
      <c r="D159" s="31" t="str">
        <f>IF(LEN(VLOOKUP($A159,Questions!$B:$AA,21,FALSE))=0,"",VLOOKUP($A159,Questions!$B:$AA,21,FALSE))</f>
        <v xml:space="preserve"> </v>
      </c>
      <c r="E159" s="30" t="str">
        <f>IF(LEN(VLOOKUP($A159,Questions!$B:$AA,22,FALSE))=0,"",VLOOKUP($A159,Questions!$B:$AA,22,FALSE))</f>
        <v xml:space="preserve"> </v>
      </c>
      <c r="F159" s="31" t="str">
        <f>IF(LEN(VLOOKUP($A159,Questions!$B:$AA,23,FALSE))=0,"",VLOOKUP($A159,Questions!$B:$AA,23,FALSE))</f>
        <v xml:space="preserve"> </v>
      </c>
      <c r="G159" s="30" t="str">
        <f>IF(LEN(VLOOKUP($A159,Questions!$B:$AA,24,FALSE))=0,"",VLOOKUP($A159,Questions!$B:$AA,24,FALSE))</f>
        <v xml:space="preserve"> </v>
      </c>
      <c r="H159" s="30" t="str">
        <f>IF(LEN(VLOOKUP($A159,Questions!$B:$AA,25,FALSE))=0,"",VLOOKUP($A159,Questions!$B:$AA,25,FALSE))</f>
        <v xml:space="preserve"> </v>
      </c>
      <c r="I159" s="30" t="str">
        <f>IF(LEN(VLOOKUP($A159,Questions!$B:$AA,26,FALSE))=0,"",VLOOKUP($A159,Questions!$B:$AA,26,FALSE))</f>
        <v xml:space="preserve"> </v>
      </c>
      <c r="J159" s="30" t="str">
        <f>IF(LEN(VLOOKUP($A159,Questions!$B:$AB,27,FALSE))=0,"",VLOOKUP($A159,Questions!$B:$AB,27,FALSE))</f>
        <v xml:space="preserve"> </v>
      </c>
      <c r="K159"/>
    </row>
    <row r="160" spans="1:11" ht="73.5" customHeight="1">
      <c r="A160" s="10" t="s">
        <v>337</v>
      </c>
      <c r="B160" s="23" t="str">
        <f>VLOOKUP(A160,'HECVAT - Full | Vendor Response'!A$27:B$284,2,FALSE)</f>
        <v>Does your staff (or third party) have access to institutional data (e.g., financial, PHI or other sensitive information) through any means?</v>
      </c>
      <c r="C160" s="30" t="str">
        <f>IF(LEN(VLOOKUP($A160,Questions!$B:$AA,20,FALSE))=0,"",VLOOKUP($A160,Questions!$B:$AA,20,FALSE))</f>
        <v xml:space="preserve"> </v>
      </c>
      <c r="D160" s="31" t="str">
        <f>IF(LEN(VLOOKUP($A160,Questions!$B:$AA,21,FALSE))=0,"",VLOOKUP($A160,Questions!$B:$AA,21,FALSE))</f>
        <v xml:space="preserve"> </v>
      </c>
      <c r="E160" s="30" t="str">
        <f>IF(LEN(VLOOKUP($A160,Questions!$B:$AA,22,FALSE))=0,"",VLOOKUP($A160,Questions!$B:$AA,22,FALSE))</f>
        <v xml:space="preserve"> </v>
      </c>
      <c r="F160" s="30" t="str">
        <f>IF(LEN(VLOOKUP($A160,Questions!$B:$AA,23,FALSE))=0,"",VLOOKUP($A160,Questions!$B:$AA,23,FALSE))</f>
        <v xml:space="preserve"> </v>
      </c>
      <c r="G160" s="30" t="str">
        <f>IF(LEN(VLOOKUP($A160,Questions!$B:$AA,24,FALSE))=0,"",VLOOKUP($A160,Questions!$B:$AA,24,FALSE))</f>
        <v xml:space="preserve"> </v>
      </c>
      <c r="H160" s="30" t="str">
        <f>IF(LEN(VLOOKUP($A160,Questions!$B:$AA,25,FALSE))=0,"",VLOOKUP($A160,Questions!$B:$AA,25,FALSE))</f>
        <v xml:space="preserve"> </v>
      </c>
      <c r="I160" s="30" t="str">
        <f>IF(LEN(VLOOKUP($A160,Questions!$B:$AA,26,FALSE))=0,"",VLOOKUP($A160,Questions!$B:$AA,26,FALSE))</f>
        <v xml:space="preserve"> </v>
      </c>
      <c r="J160" s="30" t="str">
        <f>IF(LEN(VLOOKUP($A160,Questions!$B:$AB,27,FALSE))=0,"",VLOOKUP($A160,Questions!$B:$AB,27,FALSE))</f>
        <v xml:space="preserve"> </v>
      </c>
      <c r="K160"/>
    </row>
    <row r="161" spans="1:11" ht="36" customHeight="1">
      <c r="A161" s="10" t="s">
        <v>339</v>
      </c>
      <c r="B161" s="23" t="str">
        <f>VLOOKUP(A161,'HECVAT - Full | Vendor Response'!A$27:B$284,2,FALSE)</f>
        <v>Do you have a documented and currently implemented strategy for securing employee workstations when they work remotely (i.e., not in a trusted computing environment)?</v>
      </c>
      <c r="C161" s="30" t="str">
        <f>IF(LEN(VLOOKUP($A161,Questions!$B:$AA,20,FALSE))=0,"",VLOOKUP($A161,Questions!$B:$AA,20,FALSE))</f>
        <v xml:space="preserve"> </v>
      </c>
      <c r="D161" s="31" t="str">
        <f>IF(LEN(VLOOKUP($A161,Questions!$B:$AA,21,FALSE))=0,"",VLOOKUP($A161,Questions!$B:$AA,21,FALSE))</f>
        <v xml:space="preserve"> </v>
      </c>
      <c r="E161" s="30" t="str">
        <f>IF(LEN(VLOOKUP($A161,Questions!$B:$AA,22,FALSE))=0,"",VLOOKUP($A161,Questions!$B:$AA,22,FALSE))</f>
        <v xml:space="preserve"> </v>
      </c>
      <c r="F161" s="30" t="str">
        <f>IF(LEN(VLOOKUP($A161,Questions!$B:$AA,23,FALSE))=0,"",VLOOKUP($A161,Questions!$B:$AA,23,FALSE))</f>
        <v xml:space="preserve"> </v>
      </c>
      <c r="G161" s="30" t="str">
        <f>IF(LEN(VLOOKUP($A161,Questions!$B:$AA,24,FALSE))=0,"",VLOOKUP($A161,Questions!$B:$AA,24,FALSE))</f>
        <v xml:space="preserve"> </v>
      </c>
      <c r="H161" s="30" t="str">
        <f>IF(LEN(VLOOKUP($A161,Questions!$B:$AA,25,FALSE))=0,"",VLOOKUP($A161,Questions!$B:$AA,25,FALSE))</f>
        <v xml:space="preserve"> </v>
      </c>
      <c r="I161" s="31" t="str">
        <f>IF(LEN(VLOOKUP($A161,Questions!$B:$AA,26,FALSE))=0,"",VLOOKUP($A161,Questions!$B:$AA,26,FALSE))</f>
        <v xml:space="preserve"> </v>
      </c>
      <c r="J161" s="31" t="str">
        <f>IF(LEN(VLOOKUP($A161,Questions!$B:$AB,27,FALSE))=0,"",VLOOKUP($A161,Questions!$B:$AB,27,FALSE))</f>
        <v xml:space="preserve"> </v>
      </c>
      <c r="K161" s="238" t="s">
        <v>3325</v>
      </c>
    </row>
    <row r="162" spans="1:11" ht="36" customHeight="1">
      <c r="A162" s="283" t="str">
        <f>IF($C$31="","Datacenter",IF($C$31="Yes","Datacenter - Optional based on QUALIFIER response.","Datacenter"))</f>
        <v>Datacenter</v>
      </c>
      <c r="B162" s="283"/>
      <c r="C162" s="18" t="str">
        <f>C$23</f>
        <v>CIS Critical Security Controls v6.1</v>
      </c>
      <c r="D162" s="18" t="str">
        <f t="shared" ref="D162:J162" si="10">D$23</f>
        <v>HIPAA</v>
      </c>
      <c r="E162" s="18" t="str">
        <f t="shared" si="10"/>
        <v>ISO 27002:27013</v>
      </c>
      <c r="F162" s="18" t="str">
        <f t="shared" si="10"/>
        <v>NIST Cybersecurity Framework</v>
      </c>
      <c r="G162" s="18" t="str">
        <f t="shared" si="10"/>
        <v>NIST SP 800-171r2</v>
      </c>
      <c r="H162" s="18" t="str">
        <f t="shared" si="10"/>
        <v>NIST SP 800-53r4</v>
      </c>
      <c r="I162" s="18" t="str">
        <f t="shared" si="10"/>
        <v>PCI DSS</v>
      </c>
      <c r="J162" s="18" t="str">
        <f t="shared" si="10"/>
        <v>Trusted CI</v>
      </c>
      <c r="K162"/>
    </row>
    <row r="163" spans="1:11" ht="49.5" customHeight="1">
      <c r="A163" s="10" t="s">
        <v>342</v>
      </c>
      <c r="B163" s="23" t="str">
        <f>VLOOKUP(A163,'HECVAT - Full | Vendor Response'!A$27:B$284,2,FALSE)</f>
        <v>Does the hosting provider have a SOC 2 Type 2 report available?</v>
      </c>
      <c r="C163" s="30" t="str">
        <f>IF(LEN(VLOOKUP($A163,Questions!$B:$AA,20,FALSE))=0,"",VLOOKUP($A163,Questions!$B:$AA,20,FALSE))</f>
        <v xml:space="preserve"> </v>
      </c>
      <c r="D163" s="32" t="str">
        <f>IF(LEN(VLOOKUP($A163,Questions!$B:$AA,21,FALSE))=0,"",VLOOKUP($A163,Questions!$B:$AA,21,FALSE))</f>
        <v xml:space="preserve"> </v>
      </c>
      <c r="E163" s="30" t="str">
        <f>IF(LEN(VLOOKUP($A163,Questions!$B:$AA,22,FALSE))=0,"",VLOOKUP($A163,Questions!$B:$AA,22,FALSE))</f>
        <v xml:space="preserve"> </v>
      </c>
      <c r="F163" s="30" t="str">
        <f>IF(LEN(VLOOKUP($A163,Questions!$B:$AA,23,FALSE))=0,"",VLOOKUP($A163,Questions!$B:$AA,23,FALSE))</f>
        <v xml:space="preserve"> </v>
      </c>
      <c r="G163" s="31" t="str">
        <f>IF(LEN(VLOOKUP($A163,Questions!$B:$AA,24,FALSE))=0,"",VLOOKUP($A163,Questions!$B:$AA,24,FALSE))</f>
        <v xml:space="preserve"> </v>
      </c>
      <c r="H163" s="32" t="str">
        <f>IF(LEN(VLOOKUP($A163,Questions!$B:$AA,25,FALSE))=0,"",VLOOKUP($A163,Questions!$B:$AA,25,FALSE))</f>
        <v xml:space="preserve"> </v>
      </c>
      <c r="I163" s="30" t="str">
        <f>IF(LEN(VLOOKUP($A163,Questions!$B:$AA,26,FALSE))=0,"",VLOOKUP($A163,Questions!$B:$AA,26,FALSE))</f>
        <v xml:space="preserve"> </v>
      </c>
      <c r="J163" s="30" t="str">
        <f>IF(LEN(VLOOKUP($A163,Questions!$B:$AB,27,FALSE))=0,"",VLOOKUP($A163,Questions!$B:$AB,27,FALSE))</f>
        <v xml:space="preserve"> </v>
      </c>
      <c r="K163"/>
    </row>
    <row r="164" spans="1:11" ht="48" customHeight="1">
      <c r="A164" s="10" t="s">
        <v>343</v>
      </c>
      <c r="B164" s="23" t="str">
        <f>VLOOKUP(A164,'HECVAT - Full | Vendor Response'!A$27:B$284,2,FALSE)</f>
        <v>Are you generally able to accommodate storing each institution's data within their geographic region?</v>
      </c>
      <c r="C164" s="30" t="str">
        <f>IF(LEN(VLOOKUP($A164,Questions!$B:$AA,20,FALSE))=0,"",VLOOKUP($A164,Questions!$B:$AA,20,FALSE))</f>
        <v xml:space="preserve"> </v>
      </c>
      <c r="D164" s="32" t="str">
        <f>IF(LEN(VLOOKUP($A164,Questions!$B:$AA,21,FALSE))=0,"",VLOOKUP($A164,Questions!$B:$AA,21,FALSE))</f>
        <v xml:space="preserve"> </v>
      </c>
      <c r="E164" s="30" t="str">
        <f>IF(LEN(VLOOKUP($A164,Questions!$B:$AA,22,FALSE))=0,"",VLOOKUP($A164,Questions!$B:$AA,22,FALSE))</f>
        <v xml:space="preserve"> </v>
      </c>
      <c r="F164" s="31" t="str">
        <f>IF(LEN(VLOOKUP($A164,Questions!$B:$AA,23,FALSE))=0,"",VLOOKUP($A164,Questions!$B:$AA,23,FALSE))</f>
        <v xml:space="preserve"> </v>
      </c>
      <c r="G164" s="31" t="str">
        <f>IF(LEN(VLOOKUP($A164,Questions!$B:$AA,24,FALSE))=0,"",VLOOKUP($A164,Questions!$B:$AA,24,FALSE))</f>
        <v xml:space="preserve"> </v>
      </c>
      <c r="H164" s="32" t="str">
        <f>IF(LEN(VLOOKUP($A164,Questions!$B:$AA,25,FALSE))=0,"",VLOOKUP($A164,Questions!$B:$AA,25,FALSE))</f>
        <v xml:space="preserve"> </v>
      </c>
      <c r="I164" s="32" t="str">
        <f>IF(LEN(VLOOKUP($A164,Questions!$B:$AA,26,FALSE))=0,"",VLOOKUP($A164,Questions!$B:$AA,26,FALSE))</f>
        <v xml:space="preserve"> </v>
      </c>
      <c r="J164" s="32" t="str">
        <f>IF(LEN(VLOOKUP($A164,Questions!$B:$AB,27,FALSE))=0,"",VLOOKUP($A164,Questions!$B:$AB,27,FALSE))</f>
        <v xml:space="preserve"> </v>
      </c>
      <c r="K164"/>
    </row>
    <row r="165" spans="1:11" ht="36" customHeight="1">
      <c r="A165" s="10" t="s">
        <v>345</v>
      </c>
      <c r="B165" s="23" t="str">
        <f>VLOOKUP(A165,'HECVAT - Full | Vendor Response'!A$27:B$284,2,FALSE)</f>
        <v>Are the data centers staffed 24 hours a day, seven days a week (i.e., 24 x 7 x 365)?</v>
      </c>
      <c r="C165" s="30" t="str">
        <f>IF(LEN(VLOOKUP($A165,Questions!$B:$AA,20,FALSE))=0,"",VLOOKUP($A165,Questions!$B:$AA,20,FALSE))</f>
        <v xml:space="preserve"> </v>
      </c>
      <c r="D165" s="32" t="str">
        <f>IF(LEN(VLOOKUP($A165,Questions!$B:$AA,21,FALSE))=0,"",VLOOKUP($A165,Questions!$B:$AA,21,FALSE))</f>
        <v xml:space="preserve"> </v>
      </c>
      <c r="E165" s="30" t="str">
        <f>IF(LEN(VLOOKUP($A165,Questions!$B:$AA,22,FALSE))=0,"",VLOOKUP($A165,Questions!$B:$AA,22,FALSE))</f>
        <v xml:space="preserve"> </v>
      </c>
      <c r="F165" s="31" t="str">
        <f>IF(LEN(VLOOKUP($A165,Questions!$B:$AA,23,FALSE))=0,"",VLOOKUP($A165,Questions!$B:$AA,23,FALSE))</f>
        <v xml:space="preserve"> </v>
      </c>
      <c r="G165" s="31" t="str">
        <f>IF(LEN(VLOOKUP($A165,Questions!$B:$AA,24,FALSE))=0,"",VLOOKUP($A165,Questions!$B:$AA,24,FALSE))</f>
        <v xml:space="preserve"> </v>
      </c>
      <c r="H165" s="32" t="str">
        <f>IF(LEN(VLOOKUP($A165,Questions!$B:$AA,25,FALSE))=0,"",VLOOKUP($A165,Questions!$B:$AA,25,FALSE))</f>
        <v xml:space="preserve"> </v>
      </c>
      <c r="I165" s="32" t="str">
        <f>IF(LEN(VLOOKUP($A165,Questions!$B:$AA,26,FALSE))=0,"",VLOOKUP($A165,Questions!$B:$AA,26,FALSE))</f>
        <v xml:space="preserve"> </v>
      </c>
      <c r="J165" s="32" t="str">
        <f>IF(LEN(VLOOKUP($A165,Questions!$B:$AB,27,FALSE))=0,"",VLOOKUP($A165,Questions!$B:$AB,27,FALSE))</f>
        <v xml:space="preserve"> </v>
      </c>
      <c r="K165"/>
    </row>
    <row r="166" spans="1:11" ht="47.25" customHeight="1">
      <c r="A166" s="10" t="s">
        <v>346</v>
      </c>
      <c r="B166" s="23" t="str">
        <f>VLOOKUP(A166,'HECVAT - Full | Vendor Response'!A$27:B$284,2,FALSE)</f>
        <v>Are your servers separated from other companies via a physical barrier, such as a cage or hardened walls?</v>
      </c>
      <c r="C166" s="30" t="str">
        <f>IF(LEN(VLOOKUP($A166,Questions!$B:$AA,20,FALSE))=0,"",VLOOKUP($A166,Questions!$B:$AA,20,FALSE))</f>
        <v xml:space="preserve"> </v>
      </c>
      <c r="D166" s="32" t="str">
        <f>IF(LEN(VLOOKUP($A166,Questions!$B:$AA,21,FALSE))=0,"",VLOOKUP($A166,Questions!$B:$AA,21,FALSE))</f>
        <v xml:space="preserve"> </v>
      </c>
      <c r="E166" s="31" t="str">
        <f>IF(LEN(VLOOKUP($A166,Questions!$B:$AA,22,FALSE))=0,"",VLOOKUP($A166,Questions!$B:$AA,22,FALSE))</f>
        <v xml:space="preserve"> </v>
      </c>
      <c r="F166" s="31" t="str">
        <f>IF(LEN(VLOOKUP($A166,Questions!$B:$AA,23,FALSE))=0,"",VLOOKUP($A166,Questions!$B:$AA,23,FALSE))</f>
        <v xml:space="preserve"> </v>
      </c>
      <c r="G166" s="31" t="str">
        <f>IF(LEN(VLOOKUP($A166,Questions!$B:$AA,24,FALSE))=0,"",VLOOKUP($A166,Questions!$B:$AA,24,FALSE))</f>
        <v xml:space="preserve"> </v>
      </c>
      <c r="H166" s="30" t="str">
        <f>IF(LEN(VLOOKUP($A166,Questions!$B:$AA,25,FALSE))=0,"",VLOOKUP($A166,Questions!$B:$AA,25,FALSE))</f>
        <v xml:space="preserve"> </v>
      </c>
      <c r="I166" s="30" t="str">
        <f>IF(LEN(VLOOKUP($A166,Questions!$B:$AA,26,FALSE))=0,"",VLOOKUP($A166,Questions!$B:$AA,26,FALSE))</f>
        <v xml:space="preserve"> </v>
      </c>
      <c r="J166" s="30" t="str">
        <f>IF(LEN(VLOOKUP($A166,Questions!$B:$AB,27,FALSE))=0,"",VLOOKUP($A166,Questions!$B:$AB,27,FALSE))</f>
        <v xml:space="preserve"> </v>
      </c>
      <c r="K166"/>
    </row>
    <row r="167" spans="1:11" ht="47.25" customHeight="1">
      <c r="A167" s="10" t="s">
        <v>347</v>
      </c>
      <c r="B167" s="23" t="str">
        <f>VLOOKUP(A167,'HECVAT - Full | Vendor Response'!A$27:B$284,2,FALSE)</f>
        <v>Does a physical barrier fully enclose the physical space, preventing unauthorized physical contact with any of your devices?</v>
      </c>
      <c r="C167" s="30" t="str">
        <f>IF(LEN(VLOOKUP($A167,Questions!$B:$AA,20,FALSE))=0,"",VLOOKUP($A167,Questions!$B:$AA,20,FALSE))</f>
        <v xml:space="preserve"> </v>
      </c>
      <c r="D167" s="32" t="str">
        <f>IF(LEN(VLOOKUP($A167,Questions!$B:$AA,21,FALSE))=0,"",VLOOKUP($A167,Questions!$B:$AA,21,FALSE))</f>
        <v xml:space="preserve"> </v>
      </c>
      <c r="E167" s="30" t="str">
        <f>IF(LEN(VLOOKUP($A167,Questions!$B:$AA,22,FALSE))=0,"",VLOOKUP($A167,Questions!$B:$AA,22,FALSE))</f>
        <v xml:space="preserve"> </v>
      </c>
      <c r="F167" s="30" t="str">
        <f>IF(LEN(VLOOKUP($A167,Questions!$B:$AA,23,FALSE))=0,"",VLOOKUP($A167,Questions!$B:$AA,23,FALSE))</f>
        <v xml:space="preserve"> </v>
      </c>
      <c r="G167" s="31" t="str">
        <f>IF(LEN(VLOOKUP($A167,Questions!$B:$AA,24,FALSE))=0,"",VLOOKUP($A167,Questions!$B:$AA,24,FALSE))</f>
        <v xml:space="preserve"> </v>
      </c>
      <c r="H167" s="32" t="str">
        <f>IF(LEN(VLOOKUP($A167,Questions!$B:$AA,25,FALSE))=0,"",VLOOKUP($A167,Questions!$B:$AA,25,FALSE))</f>
        <v xml:space="preserve"> </v>
      </c>
      <c r="I167" s="30" t="str">
        <f>IF(LEN(VLOOKUP($A167,Questions!$B:$AA,26,FALSE))=0,"",VLOOKUP($A167,Questions!$B:$AA,26,FALSE))</f>
        <v xml:space="preserve"> </v>
      </c>
      <c r="J167" s="30" t="str">
        <f>IF(LEN(VLOOKUP($A167,Questions!$B:$AB,27,FALSE))=0,"",VLOOKUP($A167,Questions!$B:$AB,27,FALSE))</f>
        <v xml:space="preserve"> </v>
      </c>
      <c r="K167"/>
    </row>
    <row r="168" spans="1:11" ht="48" customHeight="1">
      <c r="A168" s="10" t="s">
        <v>348</v>
      </c>
      <c r="B168" s="23" t="str">
        <f>VLOOKUP(A168,'HECVAT - Full | Vendor Response'!A$27:B$284,2,FALSE)</f>
        <v>Are your primary and secondary data centers geographically diverse?</v>
      </c>
      <c r="C168" s="30" t="str">
        <f>IF(LEN(VLOOKUP($A168,Questions!$B:$AA,20,FALSE))=0,"",VLOOKUP($A168,Questions!$B:$AA,20,FALSE))</f>
        <v xml:space="preserve"> </v>
      </c>
      <c r="D168" s="32" t="str">
        <f>IF(LEN(VLOOKUP($A168,Questions!$B:$AA,21,FALSE))=0,"",VLOOKUP($A168,Questions!$B:$AA,21,FALSE))</f>
        <v xml:space="preserve"> </v>
      </c>
      <c r="E168" s="30" t="str">
        <f>IF(LEN(VLOOKUP($A168,Questions!$B:$AA,22,FALSE))=0,"",VLOOKUP($A168,Questions!$B:$AA,22,FALSE))</f>
        <v xml:space="preserve"> </v>
      </c>
      <c r="F168" s="30" t="str">
        <f>IF(LEN(VLOOKUP($A168,Questions!$B:$AA,23,FALSE))=0,"",VLOOKUP($A168,Questions!$B:$AA,23,FALSE))</f>
        <v xml:space="preserve"> </v>
      </c>
      <c r="G168" s="30" t="str">
        <f>IF(LEN(VLOOKUP($A168,Questions!$B:$AA,24,FALSE))=0,"",VLOOKUP($A168,Questions!$B:$AA,24,FALSE))</f>
        <v xml:space="preserve"> </v>
      </c>
      <c r="H168" s="32" t="str">
        <f>IF(LEN(VLOOKUP($A168,Questions!$B:$AA,25,FALSE))=0,"",VLOOKUP($A168,Questions!$B:$AA,25,FALSE))</f>
        <v xml:space="preserve"> </v>
      </c>
      <c r="I168" s="30" t="str">
        <f>IF(LEN(VLOOKUP($A168,Questions!$B:$AA,26,FALSE))=0,"",VLOOKUP($A168,Questions!$B:$AA,26,FALSE))</f>
        <v xml:space="preserve"> </v>
      </c>
      <c r="J168" s="30" t="str">
        <f>IF(LEN(VLOOKUP($A168,Questions!$B:$AB,27,FALSE))=0,"",VLOOKUP($A168,Questions!$B:$AB,27,FALSE))</f>
        <v xml:space="preserve"> </v>
      </c>
      <c r="K168"/>
    </row>
    <row r="169" spans="1:11" ht="47.25" customHeight="1">
      <c r="A169" s="10" t="s">
        <v>350</v>
      </c>
      <c r="B169" s="23" t="str">
        <f>VLOOKUP(A169,'HECVAT - Full | Vendor Response'!A$27:B$284,2,FALSE)</f>
        <v>If outsourced or co-located, is there a contract in place to prevent data from leaving the institution's data zone?</v>
      </c>
      <c r="C169" s="30" t="str">
        <f>IF(LEN(VLOOKUP($A169,Questions!$B:$AA,20,FALSE))=0,"",VLOOKUP($A169,Questions!$B:$AA,20,FALSE))</f>
        <v xml:space="preserve"> </v>
      </c>
      <c r="D169" s="32" t="str">
        <f>IF(LEN(VLOOKUP($A169,Questions!$B:$AA,21,FALSE))=0,"",VLOOKUP($A169,Questions!$B:$AA,21,FALSE))</f>
        <v xml:space="preserve"> </v>
      </c>
      <c r="E169" s="31" t="str">
        <f>IF(LEN(VLOOKUP($A169,Questions!$B:$AA,22,FALSE))=0,"",VLOOKUP($A169,Questions!$B:$AA,22,FALSE))</f>
        <v xml:space="preserve"> </v>
      </c>
      <c r="F169" s="30" t="str">
        <f>IF(LEN(VLOOKUP($A169,Questions!$B:$AA,23,FALSE))=0,"",VLOOKUP($A169,Questions!$B:$AA,23,FALSE))</f>
        <v xml:space="preserve"> </v>
      </c>
      <c r="G169" s="30" t="str">
        <f>IF(LEN(VLOOKUP($A169,Questions!$B:$AA,24,FALSE))=0,"",VLOOKUP($A169,Questions!$B:$AA,24,FALSE))</f>
        <v xml:space="preserve"> </v>
      </c>
      <c r="H169" s="32" t="str">
        <f>IF(LEN(VLOOKUP($A169,Questions!$B:$AA,25,FALSE))=0,"",VLOOKUP($A169,Questions!$B:$AA,25,FALSE))</f>
        <v xml:space="preserve"> </v>
      </c>
      <c r="I169" s="32" t="str">
        <f>IF(LEN(VLOOKUP($A169,Questions!$B:$AA,26,FALSE))=0,"",VLOOKUP($A169,Questions!$B:$AA,26,FALSE))</f>
        <v xml:space="preserve"> </v>
      </c>
      <c r="J169" s="32" t="str">
        <f>IF(LEN(VLOOKUP($A169,Questions!$B:$AB,27,FALSE))=0,"",VLOOKUP($A169,Questions!$B:$AB,27,FALSE))</f>
        <v xml:space="preserve"> </v>
      </c>
      <c r="K169"/>
    </row>
    <row r="170" spans="1:11" ht="36" customHeight="1">
      <c r="A170" s="10" t="s">
        <v>352</v>
      </c>
      <c r="B170" s="23" t="str">
        <f>VLOOKUP(A170,'HECVAT - Full | Vendor Response'!A$27:B$284,2,FALSE)</f>
        <v>What tier level is your data center (per levels defined by the Uptime Institute)?</v>
      </c>
      <c r="C170" s="30" t="str">
        <f>IF(LEN(VLOOKUP($A170,Questions!$B:$AA,20,FALSE))=0,"",VLOOKUP($A170,Questions!$B:$AA,20,FALSE))</f>
        <v xml:space="preserve"> </v>
      </c>
      <c r="D170" s="32" t="str">
        <f>IF(LEN(VLOOKUP($A170,Questions!$B:$AA,21,FALSE))=0,"",VLOOKUP($A170,Questions!$B:$AA,21,FALSE))</f>
        <v xml:space="preserve"> </v>
      </c>
      <c r="E170" s="30" t="str">
        <f>IF(LEN(VLOOKUP($A170,Questions!$B:$AA,22,FALSE))=0,"",VLOOKUP($A170,Questions!$B:$AA,22,FALSE))</f>
        <v xml:space="preserve"> </v>
      </c>
      <c r="F170" s="31" t="str">
        <f>IF(LEN(VLOOKUP($A170,Questions!$B:$AA,23,FALSE))=0,"",VLOOKUP($A170,Questions!$B:$AA,23,FALSE))</f>
        <v xml:space="preserve"> </v>
      </c>
      <c r="G170" s="31" t="str">
        <f>IF(LEN(VLOOKUP($A170,Questions!$B:$AA,24,FALSE))=0,"",VLOOKUP($A170,Questions!$B:$AA,24,FALSE))</f>
        <v xml:space="preserve"> </v>
      </c>
      <c r="H170" s="32" t="str">
        <f>IF(LEN(VLOOKUP($A170,Questions!$B:$AA,25,FALSE))=0,"",VLOOKUP($A170,Questions!$B:$AA,25,FALSE))</f>
        <v xml:space="preserve"> </v>
      </c>
      <c r="I170" s="30" t="str">
        <f>IF(LEN(VLOOKUP($A170,Questions!$B:$AA,26,FALSE))=0,"",VLOOKUP($A170,Questions!$B:$AA,26,FALSE))</f>
        <v xml:space="preserve"> </v>
      </c>
      <c r="J170" s="30" t="str">
        <f>IF(LEN(VLOOKUP($A170,Questions!$B:$AB,27,FALSE))=0,"",VLOOKUP($A170,Questions!$B:$AB,27,FALSE))</f>
        <v xml:space="preserve"> </v>
      </c>
      <c r="K170"/>
    </row>
    <row r="171" spans="1:11" ht="36" customHeight="1">
      <c r="A171" s="10" t="s">
        <v>353</v>
      </c>
      <c r="B171" s="23" t="str">
        <f>VLOOKUP(A171,'HECVAT - Full | Vendor Response'!A$27:B$284,2,FALSE)</f>
        <v>Is the service hosted in a high-availability environment?</v>
      </c>
      <c r="C171" s="30" t="str">
        <f>IF(LEN(VLOOKUP($A171,Questions!$B:$AA,20,FALSE))=0,"",VLOOKUP($A171,Questions!$B:$AA,20,FALSE))</f>
        <v xml:space="preserve"> </v>
      </c>
      <c r="D171" s="32" t="str">
        <f>IF(LEN(VLOOKUP($A171,Questions!$B:$AA,21,FALSE))=0,"",VLOOKUP($A171,Questions!$B:$AA,21,FALSE))</f>
        <v xml:space="preserve"> </v>
      </c>
      <c r="E171" s="30" t="str">
        <f>IF(LEN(VLOOKUP($A171,Questions!$B:$AA,22,FALSE))=0,"",VLOOKUP($A171,Questions!$B:$AA,22,FALSE))</f>
        <v xml:space="preserve"> </v>
      </c>
      <c r="F171" s="31" t="str">
        <f>IF(LEN(VLOOKUP($A171,Questions!$B:$AA,23,FALSE))=0,"",VLOOKUP($A171,Questions!$B:$AA,23,FALSE))</f>
        <v xml:space="preserve"> </v>
      </c>
      <c r="G171" s="31" t="str">
        <f>IF(LEN(VLOOKUP($A171,Questions!$B:$AA,24,FALSE))=0,"",VLOOKUP($A171,Questions!$B:$AA,24,FALSE))</f>
        <v xml:space="preserve"> </v>
      </c>
      <c r="H171" s="32" t="str">
        <f>IF(LEN(VLOOKUP($A171,Questions!$B:$AA,25,FALSE))=0,"",VLOOKUP($A171,Questions!$B:$AA,25,FALSE))</f>
        <v xml:space="preserve"> </v>
      </c>
      <c r="I171" s="30" t="str">
        <f>IF(LEN(VLOOKUP($A171,Questions!$B:$AA,26,FALSE))=0,"",VLOOKUP($A171,Questions!$B:$AA,26,FALSE))</f>
        <v xml:space="preserve"> </v>
      </c>
      <c r="J171" s="30" t="str">
        <f>IF(LEN(VLOOKUP($A171,Questions!$B:$AB,27,FALSE))=0,"",VLOOKUP($A171,Questions!$B:$AB,27,FALSE))</f>
        <v xml:space="preserve"> </v>
      </c>
      <c r="K171"/>
    </row>
    <row r="172" spans="1:11" ht="64.5" customHeight="1">
      <c r="A172" s="10" t="s">
        <v>355</v>
      </c>
      <c r="B172" s="23" t="str">
        <f>VLOOKUP(A172,'HECVAT - Full | Vendor Response'!A$27:B$284,2,FALSE)</f>
        <v xml:space="preserve">Is redundant power available for all data centers where institutional data will reside? </v>
      </c>
      <c r="C172" s="30" t="str">
        <f>IF(LEN(VLOOKUP($A172,Questions!$B:$AA,20,FALSE))=0,"",VLOOKUP($A172,Questions!$B:$AA,20,FALSE))</f>
        <v xml:space="preserve"> </v>
      </c>
      <c r="D172" s="32" t="str">
        <f>IF(LEN(VLOOKUP($A172,Questions!$B:$AA,21,FALSE))=0,"",VLOOKUP($A172,Questions!$B:$AA,21,FALSE))</f>
        <v xml:space="preserve"> </v>
      </c>
      <c r="E172" s="30" t="str">
        <f>IF(LEN(VLOOKUP($A172,Questions!$B:$AA,22,FALSE))=0,"",VLOOKUP($A172,Questions!$B:$AA,22,FALSE))</f>
        <v xml:space="preserve"> </v>
      </c>
      <c r="F172" s="31" t="str">
        <f>IF(LEN(VLOOKUP($A172,Questions!$B:$AA,23,FALSE))=0,"",VLOOKUP($A172,Questions!$B:$AA,23,FALSE))</f>
        <v xml:space="preserve"> </v>
      </c>
      <c r="G172" s="32" t="str">
        <f>IF(LEN(VLOOKUP($A172,Questions!$B:$AA,24,FALSE))=0,"",VLOOKUP($A172,Questions!$B:$AA,24,FALSE))</f>
        <v xml:space="preserve"> </v>
      </c>
      <c r="H172" s="32" t="str">
        <f>IF(LEN(VLOOKUP($A172,Questions!$B:$AA,25,FALSE))=0,"",VLOOKUP($A172,Questions!$B:$AA,25,FALSE))</f>
        <v xml:space="preserve"> </v>
      </c>
      <c r="I172" s="30" t="str">
        <f>IF(LEN(VLOOKUP($A172,Questions!$B:$AA,26,FALSE))=0,"",VLOOKUP($A172,Questions!$B:$AA,26,FALSE))</f>
        <v xml:space="preserve"> </v>
      </c>
      <c r="J172" s="30" t="str">
        <f>IF(LEN(VLOOKUP($A172,Questions!$B:$AB,27,FALSE))=0,"",VLOOKUP($A172,Questions!$B:$AB,27,FALSE))</f>
        <v xml:space="preserve"> </v>
      </c>
      <c r="K172"/>
    </row>
    <row r="173" spans="1:11" ht="53.25" customHeight="1">
      <c r="A173" s="10" t="s">
        <v>356</v>
      </c>
      <c r="B173" s="23" t="str">
        <f>VLOOKUP(A173,'HECVAT - Full | Vendor Response'!A$27:B$284,2,FALSE)</f>
        <v>Are redundant power strategies tested?</v>
      </c>
      <c r="C173" s="30" t="str">
        <f>IF(LEN(VLOOKUP($A173,Questions!$B:$AA,20,FALSE))=0,"",VLOOKUP($A173,Questions!$B:$AA,20,FALSE))</f>
        <v xml:space="preserve"> </v>
      </c>
      <c r="D173" s="32" t="str">
        <f>IF(LEN(VLOOKUP($A173,Questions!$B:$AA,21,FALSE))=0,"",VLOOKUP($A173,Questions!$B:$AA,21,FALSE))</f>
        <v xml:space="preserve"> </v>
      </c>
      <c r="E173" s="30" t="str">
        <f>IF(LEN(VLOOKUP($A173,Questions!$B:$AA,22,FALSE))=0,"",VLOOKUP($A173,Questions!$B:$AA,22,FALSE))</f>
        <v xml:space="preserve"> </v>
      </c>
      <c r="F173" s="31" t="str">
        <f>IF(LEN(VLOOKUP($A173,Questions!$B:$AA,23,FALSE))=0,"",VLOOKUP($A173,Questions!$B:$AA,23,FALSE))</f>
        <v xml:space="preserve"> </v>
      </c>
      <c r="G173" s="31" t="str">
        <f>IF(LEN(VLOOKUP($A173,Questions!$B:$AA,24,FALSE))=0,"",VLOOKUP($A173,Questions!$B:$AA,24,FALSE))</f>
        <v xml:space="preserve"> </v>
      </c>
      <c r="H173" s="32" t="str">
        <f>IF(LEN(VLOOKUP($A173,Questions!$B:$AA,25,FALSE))=0,"",VLOOKUP($A173,Questions!$B:$AA,25,FALSE))</f>
        <v xml:space="preserve"> </v>
      </c>
      <c r="I173" s="30" t="str">
        <f>IF(LEN(VLOOKUP($A173,Questions!$B:$AA,26,FALSE))=0,"",VLOOKUP($A173,Questions!$B:$AA,26,FALSE))</f>
        <v xml:space="preserve"> </v>
      </c>
      <c r="J173" s="30" t="str">
        <f>IF(LEN(VLOOKUP($A173,Questions!$B:$AB,27,FALSE))=0,"",VLOOKUP($A173,Questions!$B:$AB,27,FALSE))</f>
        <v xml:space="preserve"> </v>
      </c>
      <c r="K173"/>
    </row>
    <row r="174" spans="1:11" ht="36" customHeight="1">
      <c r="A174" s="10" t="s">
        <v>357</v>
      </c>
      <c r="B174" s="23" t="str">
        <f>VLOOKUP(A174,'HECVAT - Full | Vendor Response'!A$27:B$284,2,FALSE)</f>
        <v>Describe or provide a reference to the availability of cooling and fire-suppression systems in all data centers where institution data will reside.</v>
      </c>
      <c r="C174" s="30" t="str">
        <f>IF(LEN(VLOOKUP($A174,Questions!$B:$AA,20,FALSE))=0,"",VLOOKUP($A174,Questions!$B:$AA,20,FALSE))</f>
        <v xml:space="preserve"> </v>
      </c>
      <c r="D174" s="32" t="str">
        <f>IF(LEN(VLOOKUP($A174,Questions!$B:$AA,21,FALSE))=0,"",VLOOKUP($A174,Questions!$B:$AA,21,FALSE))</f>
        <v xml:space="preserve"> </v>
      </c>
      <c r="E174" s="30" t="str">
        <f>IF(LEN(VLOOKUP($A174,Questions!$B:$AA,22,FALSE))=0,"",VLOOKUP($A174,Questions!$B:$AA,22,FALSE))</f>
        <v xml:space="preserve"> </v>
      </c>
      <c r="F174" s="31" t="str">
        <f>IF(LEN(VLOOKUP($A174,Questions!$B:$AA,23,FALSE))=0,"",VLOOKUP($A174,Questions!$B:$AA,23,FALSE))</f>
        <v xml:space="preserve"> </v>
      </c>
      <c r="G174" s="31" t="str">
        <f>IF(LEN(VLOOKUP($A174,Questions!$B:$AA,24,FALSE))=0,"",VLOOKUP($A174,Questions!$B:$AA,24,FALSE))</f>
        <v xml:space="preserve"> </v>
      </c>
      <c r="H174" s="32" t="str">
        <f>IF(LEN(VLOOKUP($A174,Questions!$B:$AA,25,FALSE))=0,"",VLOOKUP($A174,Questions!$B:$AA,25,FALSE))</f>
        <v xml:space="preserve"> </v>
      </c>
      <c r="I174" s="30" t="str">
        <f>IF(LEN(VLOOKUP($A174,Questions!$B:$AA,26,FALSE))=0,"",VLOOKUP($A174,Questions!$B:$AA,26,FALSE))</f>
        <v xml:space="preserve"> </v>
      </c>
      <c r="J174" s="30" t="str">
        <f>IF(LEN(VLOOKUP($A174,Questions!$B:$AB,27,FALSE))=0,"",VLOOKUP($A174,Questions!$B:$AB,27,FALSE))</f>
        <v xml:space="preserve"> </v>
      </c>
      <c r="K174"/>
    </row>
    <row r="175" spans="1:11" ht="36" customHeight="1">
      <c r="A175" s="10" t="s">
        <v>358</v>
      </c>
      <c r="B175" s="23" t="str">
        <f>VLOOKUP(A175,'HECVAT - Full | Vendor Response'!A$27:B$284,2,FALSE)</f>
        <v>Do you have Internet Service Provider (ISP) redundancy?</v>
      </c>
      <c r="C175" s="31" t="str">
        <f>IF(LEN(VLOOKUP($A175,Questions!$B:$AA,20,FALSE))=0,"",VLOOKUP($A175,Questions!$B:$AA,20,FALSE))</f>
        <v xml:space="preserve"> </v>
      </c>
      <c r="D175" s="32" t="str">
        <f>IF(LEN(VLOOKUP($A175,Questions!$B:$AA,21,FALSE))=0,"",VLOOKUP($A175,Questions!$B:$AA,21,FALSE))</f>
        <v xml:space="preserve"> </v>
      </c>
      <c r="E175" s="30" t="str">
        <f>IF(LEN(VLOOKUP($A175,Questions!$B:$AA,22,FALSE))=0,"",VLOOKUP($A175,Questions!$B:$AA,22,FALSE))</f>
        <v xml:space="preserve"> </v>
      </c>
      <c r="F175" s="31" t="str">
        <f>IF(LEN(VLOOKUP($A175,Questions!$B:$AA,23,FALSE))=0,"",VLOOKUP($A175,Questions!$B:$AA,23,FALSE))</f>
        <v xml:space="preserve"> </v>
      </c>
      <c r="G175" s="31" t="str">
        <f>IF(LEN(VLOOKUP($A175,Questions!$B:$AA,24,FALSE))=0,"",VLOOKUP($A175,Questions!$B:$AA,24,FALSE))</f>
        <v xml:space="preserve"> </v>
      </c>
      <c r="H175" s="32" t="str">
        <f>IF(LEN(VLOOKUP($A175,Questions!$B:$AA,25,FALSE))=0,"",VLOOKUP($A175,Questions!$B:$AA,25,FALSE))</f>
        <v xml:space="preserve"> </v>
      </c>
      <c r="I175" s="32" t="str">
        <f>IF(LEN(VLOOKUP($A175,Questions!$B:$AA,26,FALSE))=0,"",VLOOKUP($A175,Questions!$B:$AA,26,FALSE))</f>
        <v xml:space="preserve"> </v>
      </c>
      <c r="J175" s="32" t="str">
        <f>IF(LEN(VLOOKUP($A175,Questions!$B:$AB,27,FALSE))=0,"",VLOOKUP($A175,Questions!$B:$AB,27,FALSE))</f>
        <v xml:space="preserve"> </v>
      </c>
      <c r="K175"/>
    </row>
    <row r="176" spans="1:11" s="1" customFormat="1" ht="48" customHeight="1">
      <c r="A176" s="10" t="s">
        <v>359</v>
      </c>
      <c r="B176" s="23" t="str">
        <f>VLOOKUP(A176,'HECVAT - Full | Vendor Response'!A$27:B$284,2,FALSE)</f>
        <v>Does every data center where the institution's data will reside have multiple telephone company or network provider entrances to the facility?</v>
      </c>
      <c r="C176" s="30" t="str">
        <f>IF(LEN(VLOOKUP($A176,Questions!$B:$AA,20,FALSE))=0,"",VLOOKUP($A176,Questions!$B:$AA,20,FALSE))</f>
        <v xml:space="preserve"> </v>
      </c>
      <c r="D176" s="32" t="str">
        <f>IF(LEN(VLOOKUP($A176,Questions!$B:$AA,21,FALSE))=0,"",VLOOKUP($A176,Questions!$B:$AA,21,FALSE))</f>
        <v xml:space="preserve"> </v>
      </c>
      <c r="E176" s="30" t="str">
        <f>IF(LEN(VLOOKUP($A176,Questions!$B:$AA,22,FALSE))=0,"",VLOOKUP($A176,Questions!$B:$AA,22,FALSE))</f>
        <v xml:space="preserve"> </v>
      </c>
      <c r="F176" s="30" t="str">
        <f>IF(LEN(VLOOKUP($A176,Questions!$B:$AA,23,FALSE))=0,"",VLOOKUP($A176,Questions!$B:$AA,23,FALSE))</f>
        <v xml:space="preserve"> </v>
      </c>
      <c r="G176" s="31" t="str">
        <f>IF(LEN(VLOOKUP($A176,Questions!$B:$AA,24,FALSE))=0,"",VLOOKUP($A176,Questions!$B:$AA,24,FALSE))</f>
        <v xml:space="preserve"> </v>
      </c>
      <c r="H176" s="32" t="str">
        <f>IF(LEN(VLOOKUP($A176,Questions!$B:$AA,25,FALSE))=0,"",VLOOKUP($A176,Questions!$B:$AA,25,FALSE))</f>
        <v xml:space="preserve"> </v>
      </c>
      <c r="I176" s="32" t="str">
        <f>IF(LEN(VLOOKUP($A176,Questions!$B:$AA,26,FALSE))=0,"",VLOOKUP($A176,Questions!$B:$AA,26,FALSE))</f>
        <v xml:space="preserve"> </v>
      </c>
      <c r="J176" s="32" t="str">
        <f>IF(LEN(VLOOKUP($A176,Questions!$B:$AB,27,FALSE))=0,"",VLOOKUP($A176,Questions!$B:$AB,27,FALSE))</f>
        <v xml:space="preserve"> </v>
      </c>
      <c r="K176" s="4"/>
    </row>
    <row r="177" spans="1:11" ht="64.5" customHeight="1">
      <c r="A177" s="10" t="s">
        <v>360</v>
      </c>
      <c r="B177" s="23" t="str">
        <f>VLOOKUP(A177,'HECVAT - Full | Vendor Response'!A$27:B$284,2,FALSE)</f>
        <v>Are you requiring multi-factor authentication for administrators of your cloud environment?</v>
      </c>
      <c r="C177" s="31" t="str">
        <f>IF(LEN(VLOOKUP($A177,Questions!$B:$AA,20,FALSE))=0,"",VLOOKUP($A177,Questions!$B:$AA,20,FALSE))</f>
        <v xml:space="preserve"> </v>
      </c>
      <c r="D177" s="32" t="str">
        <f>IF(LEN(VLOOKUP($A177,Questions!$B:$AA,21,FALSE))=0,"",VLOOKUP($A177,Questions!$B:$AA,21,FALSE))</f>
        <v xml:space="preserve"> </v>
      </c>
      <c r="E177" s="30" t="str">
        <f>IF(LEN(VLOOKUP($A177,Questions!$B:$AA,22,FALSE))=0,"",VLOOKUP($A177,Questions!$B:$AA,22,FALSE))</f>
        <v xml:space="preserve"> </v>
      </c>
      <c r="F177" s="30" t="str">
        <f>IF(LEN(VLOOKUP($A177,Questions!$B:$AA,23,FALSE))=0,"",VLOOKUP($A177,Questions!$B:$AA,23,FALSE))</f>
        <v xml:space="preserve"> </v>
      </c>
      <c r="G177" s="31" t="str">
        <f>IF(LEN(VLOOKUP($A177,Questions!$B:$AA,24,FALSE))=0,"",VLOOKUP($A177,Questions!$B:$AA,24,FALSE))</f>
        <v xml:space="preserve"> </v>
      </c>
      <c r="H177" s="32" t="str">
        <f>IF(LEN(VLOOKUP($A177,Questions!$B:$AA,25,FALSE))=0,"",VLOOKUP($A177,Questions!$B:$AA,25,FALSE))</f>
        <v xml:space="preserve"> </v>
      </c>
      <c r="I177" s="32" t="str">
        <f>IF(LEN(VLOOKUP($A177,Questions!$B:$AA,26,FALSE))=0,"",VLOOKUP($A177,Questions!$B:$AA,26,FALSE))</f>
        <v xml:space="preserve"> </v>
      </c>
      <c r="J177" s="32" t="str">
        <f>IF(LEN(VLOOKUP($A177,Questions!$B:$AB,27,FALSE))=0,"",VLOOKUP($A177,Questions!$B:$AB,27,FALSE))</f>
        <v xml:space="preserve"> </v>
      </c>
      <c r="K177"/>
    </row>
    <row r="178" spans="1:11" ht="36" customHeight="1">
      <c r="A178" s="10" t="s">
        <v>362</v>
      </c>
      <c r="B178" s="23" t="str">
        <f>VLOOKUP(A178,'HECVAT - Full | Vendor Response'!A$27:B$284,2,FALSE)</f>
        <v>Are you using your cloud providers available hardening tools or pre-hardened images?</v>
      </c>
      <c r="C178" s="31" t="str">
        <f>IF(LEN(VLOOKUP($A178,Questions!$B:$AA,20,FALSE))=0,"",VLOOKUP($A178,Questions!$B:$AA,20,FALSE))</f>
        <v xml:space="preserve"> </v>
      </c>
      <c r="D178" s="32" t="str">
        <f>IF(LEN(VLOOKUP($A178,Questions!$B:$AA,21,FALSE))=0,"",VLOOKUP($A178,Questions!$B:$AA,21,FALSE))</f>
        <v xml:space="preserve"> </v>
      </c>
      <c r="E178" s="30" t="str">
        <f>IF(LEN(VLOOKUP($A178,Questions!$B:$AA,22,FALSE))=0,"",VLOOKUP($A178,Questions!$B:$AA,22,FALSE))</f>
        <v xml:space="preserve"> </v>
      </c>
      <c r="F178" s="30" t="str">
        <f>IF(LEN(VLOOKUP($A178,Questions!$B:$AA,23,FALSE))=0,"",VLOOKUP($A178,Questions!$B:$AA,23,FALSE))</f>
        <v xml:space="preserve"> </v>
      </c>
      <c r="G178" s="32" t="str">
        <f>IF(LEN(VLOOKUP($A178,Questions!$B:$AA,24,FALSE))=0,"",VLOOKUP($A178,Questions!$B:$AA,24,FALSE))</f>
        <v xml:space="preserve"> </v>
      </c>
      <c r="H178" s="32" t="str">
        <f>IF(LEN(VLOOKUP($A178,Questions!$B:$AA,25,FALSE))=0,"",VLOOKUP($A178,Questions!$B:$AA,25,FALSE))</f>
        <v xml:space="preserve"> </v>
      </c>
      <c r="I178" s="32" t="str">
        <f>IF(LEN(VLOOKUP($A178,Questions!$B:$AA,26,FALSE))=0,"",VLOOKUP($A178,Questions!$B:$AA,26,FALSE))</f>
        <v xml:space="preserve"> </v>
      </c>
      <c r="J178" s="32" t="str">
        <f>IF(LEN(VLOOKUP($A178,Questions!$B:$AB,27,FALSE))=0,"",VLOOKUP($A178,Questions!$B:$AB,27,FALSE))</f>
        <v xml:space="preserve"> </v>
      </c>
      <c r="K178"/>
    </row>
    <row r="179" spans="1:11" ht="48" customHeight="1">
      <c r="A179" s="10" t="s">
        <v>363</v>
      </c>
      <c r="B179" s="23" t="str">
        <f>VLOOKUP(A179,'HECVAT - Full | Vendor Response'!A$27:B$284,2,FALSE)</f>
        <v>Does your cloud vendor have access to your encryption keys?</v>
      </c>
      <c r="C179" s="31" t="str">
        <f>IF(LEN(VLOOKUP($A179,Questions!$B:$AA,20,FALSE))=0,"",VLOOKUP($A179,Questions!$B:$AA,20,FALSE))</f>
        <v xml:space="preserve"> </v>
      </c>
      <c r="D179" s="32" t="str">
        <f>IF(LEN(VLOOKUP($A179,Questions!$B:$AA,21,FALSE))=0,"",VLOOKUP($A179,Questions!$B:$AA,21,FALSE))</f>
        <v xml:space="preserve"> </v>
      </c>
      <c r="E179" s="30" t="str">
        <f>IF(LEN(VLOOKUP($A179,Questions!$B:$AA,22,FALSE))=0,"",VLOOKUP($A179,Questions!$B:$AA,22,FALSE))</f>
        <v xml:space="preserve"> </v>
      </c>
      <c r="F179" s="31" t="str">
        <f>IF(LEN(VLOOKUP($A179,Questions!$B:$AA,23,FALSE))=0,"",VLOOKUP($A179,Questions!$B:$AA,23,FALSE))</f>
        <v xml:space="preserve"> </v>
      </c>
      <c r="G179" s="32" t="str">
        <f>IF(LEN(VLOOKUP($A179,Questions!$B:$AA,24,FALSE))=0,"",VLOOKUP($A179,Questions!$B:$AA,24,FALSE))</f>
        <v xml:space="preserve"> </v>
      </c>
      <c r="H179" s="30" t="str">
        <f>IF(LEN(VLOOKUP($A179,Questions!$B:$AA,25,FALSE))=0,"",VLOOKUP($A179,Questions!$B:$AA,25,FALSE))</f>
        <v xml:space="preserve"> </v>
      </c>
      <c r="I179" s="32" t="str">
        <f>IF(LEN(VLOOKUP($A179,Questions!$B:$AA,26,FALSE))=0,"",VLOOKUP($A179,Questions!$B:$AA,26,FALSE))</f>
        <v xml:space="preserve"> </v>
      </c>
      <c r="J179" s="32" t="str">
        <f>IF(LEN(VLOOKUP($A179,Questions!$B:$AB,27,FALSE))=0,"",VLOOKUP($A179,Questions!$B:$AB,27,FALSE))</f>
        <v xml:space="preserve"> </v>
      </c>
      <c r="K179" s="238" t="s">
        <v>3325</v>
      </c>
    </row>
    <row r="180" spans="1:11" ht="36" customHeight="1">
      <c r="A180" s="283" t="str">
        <f>IF(OR($C$29="No",$C$31="Yes"),"DRP - Optional based on QUALIFIER response.","Disaster Recovery Plan")</f>
        <v>Disaster Recovery Plan</v>
      </c>
      <c r="B180" s="283"/>
      <c r="C180" s="18" t="str">
        <f>C$23</f>
        <v>CIS Critical Security Controls v6.1</v>
      </c>
      <c r="D180" s="18" t="str">
        <f t="shared" ref="D180:J180" si="11">D$23</f>
        <v>HIPAA</v>
      </c>
      <c r="E180" s="18" t="str">
        <f t="shared" si="11"/>
        <v>ISO 27002:27013</v>
      </c>
      <c r="F180" s="18" t="str">
        <f t="shared" si="11"/>
        <v>NIST Cybersecurity Framework</v>
      </c>
      <c r="G180" s="18" t="str">
        <f t="shared" si="11"/>
        <v>NIST SP 800-171r2</v>
      </c>
      <c r="H180" s="18" t="str">
        <f t="shared" si="11"/>
        <v>NIST SP 800-53r4</v>
      </c>
      <c r="I180" s="18" t="str">
        <f t="shared" si="11"/>
        <v>PCI DSS</v>
      </c>
      <c r="J180" s="18" t="str">
        <f t="shared" si="11"/>
        <v>Trusted CI</v>
      </c>
      <c r="K180"/>
    </row>
    <row r="181" spans="1:11" ht="48" customHeight="1">
      <c r="A181" s="10" t="s">
        <v>365</v>
      </c>
      <c r="B181" s="23" t="str">
        <f>VLOOKUP(A181,'HECVAT - Full | Vendor Response'!A$27:B$284,2,FALSE)</f>
        <v>Describe or provide a reference to your Disaster Recovery Plan (DRP).</v>
      </c>
      <c r="C181" s="30" t="str">
        <f>IF(LEN(VLOOKUP($A181,Questions!$B:$AA,20,FALSE))=0,"",VLOOKUP($A181,Questions!$B:$AA,20,FALSE))</f>
        <v xml:space="preserve"> </v>
      </c>
      <c r="D181" s="32" t="str">
        <f>IF(LEN(VLOOKUP($A181,Questions!$B:$AA,21,FALSE))=0,"",VLOOKUP($A181,Questions!$B:$AA,21,FALSE))</f>
        <v xml:space="preserve"> </v>
      </c>
      <c r="E181" s="30" t="str">
        <f>IF(LEN(VLOOKUP($A181,Questions!$B:$AA,22,FALSE))=0,"",VLOOKUP($A181,Questions!$B:$AA,22,FALSE))</f>
        <v xml:space="preserve"> </v>
      </c>
      <c r="F181" s="30" t="str">
        <f>IF(LEN(VLOOKUP($A181,Questions!$B:$AA,23,FALSE))=0,"",VLOOKUP($A181,Questions!$B:$AA,23,FALSE))</f>
        <v xml:space="preserve"> </v>
      </c>
      <c r="G181" s="30" t="str">
        <f>IF(LEN(VLOOKUP($A181,Questions!$B:$AA,24,FALSE))=0,"",VLOOKUP($A181,Questions!$B:$AA,24,FALSE))</f>
        <v xml:space="preserve"> </v>
      </c>
      <c r="H181" s="15" t="str">
        <f>IF(LEN(VLOOKUP($A181,Questions!$B:$AA,25,FALSE))=0,"",VLOOKUP($A181,Questions!$B:$AA,25,FALSE))</f>
        <v xml:space="preserve"> </v>
      </c>
      <c r="I181" s="15" t="str">
        <f>IF(LEN(VLOOKUP($A181,Questions!$B:$AA,26,FALSE))=0,"",VLOOKUP($A181,Questions!$B:$AA,26,FALSE))</f>
        <v xml:space="preserve"> </v>
      </c>
      <c r="J181" s="15" t="str">
        <f>IF(LEN(VLOOKUP($A181,Questions!$B:$AB,27,FALSE))=0,"",VLOOKUP($A181,Questions!$B:$AB,27,FALSE))</f>
        <v xml:space="preserve"> </v>
      </c>
      <c r="K181"/>
    </row>
    <row r="182" spans="1:11" ht="47.25" customHeight="1">
      <c r="A182" s="10" t="s">
        <v>367</v>
      </c>
      <c r="B182" s="23" t="str">
        <f>VLOOKUP(A182,'HECVAT - Full | Vendor Response'!A$27:B$284,2,FALSE)</f>
        <v>Is an owner assigned who is responsible for the maintenance and review of the DRP?</v>
      </c>
      <c r="C182" s="30" t="str">
        <f>IF(LEN(VLOOKUP($A182,Questions!$B:$AA,20,FALSE))=0,"",VLOOKUP($A182,Questions!$B:$AA,20,FALSE))</f>
        <v xml:space="preserve"> </v>
      </c>
      <c r="D182" s="32" t="str">
        <f>IF(LEN(VLOOKUP($A182,Questions!$B:$AA,21,FALSE))=0,"",VLOOKUP($A182,Questions!$B:$AA,21,FALSE))</f>
        <v xml:space="preserve"> </v>
      </c>
      <c r="E182" s="30" t="str">
        <f>IF(LEN(VLOOKUP($A182,Questions!$B:$AA,22,FALSE))=0,"",VLOOKUP($A182,Questions!$B:$AA,22,FALSE))</f>
        <v xml:space="preserve"> </v>
      </c>
      <c r="F182" s="30" t="str">
        <f>IF(LEN(VLOOKUP($A182,Questions!$B:$AA,23,FALSE))=0,"",VLOOKUP($A182,Questions!$B:$AA,23,FALSE))</f>
        <v xml:space="preserve"> </v>
      </c>
      <c r="G182" s="30" t="str">
        <f>IF(LEN(VLOOKUP($A182,Questions!$B:$AA,24,FALSE))=0,"",VLOOKUP($A182,Questions!$B:$AA,24,FALSE))</f>
        <v xml:space="preserve"> </v>
      </c>
      <c r="H182" s="15" t="str">
        <f>IF(LEN(VLOOKUP($A182,Questions!$B:$AA,25,FALSE))=0,"",VLOOKUP($A182,Questions!$B:$AA,25,FALSE))</f>
        <v xml:space="preserve"> </v>
      </c>
      <c r="I182" s="15" t="str">
        <f>IF(LEN(VLOOKUP($A182,Questions!$B:$AA,26,FALSE))=0,"",VLOOKUP($A182,Questions!$B:$AA,26,FALSE))</f>
        <v xml:space="preserve"> </v>
      </c>
      <c r="J182" s="15" t="str">
        <f>IF(LEN(VLOOKUP($A182,Questions!$B:$AB,27,FALSE))=0,"",VLOOKUP($A182,Questions!$B:$AB,27,FALSE))</f>
        <v xml:space="preserve"> </v>
      </c>
      <c r="K182"/>
    </row>
    <row r="183" spans="1:11" ht="47.25" customHeight="1">
      <c r="A183" s="10" t="s">
        <v>369</v>
      </c>
      <c r="B183" s="23" t="str">
        <f>VLOOKUP(A183,'HECVAT - Full | Vendor Response'!A$27:B$284,2,FALSE)</f>
        <v>Can the institution review your DRP and supporting documentation?</v>
      </c>
      <c r="C183" s="30" t="str">
        <f>IF(LEN(VLOOKUP($A183,Questions!$B:$AA,20,FALSE))=0,"",VLOOKUP($A183,Questions!$B:$AA,20,FALSE))</f>
        <v xml:space="preserve"> </v>
      </c>
      <c r="D183" s="32" t="str">
        <f>IF(LEN(VLOOKUP($A183,Questions!$B:$AA,21,FALSE))=0,"",VLOOKUP($A183,Questions!$B:$AA,21,FALSE))</f>
        <v xml:space="preserve"> </v>
      </c>
      <c r="E183" s="31" t="str">
        <f>IF(LEN(VLOOKUP($A183,Questions!$B:$AA,22,FALSE))=0,"",VLOOKUP($A183,Questions!$B:$AA,22,FALSE))</f>
        <v xml:space="preserve"> </v>
      </c>
      <c r="F183" s="30" t="str">
        <f>IF(LEN(VLOOKUP($A183,Questions!$B:$AA,23,FALSE))=0,"",VLOOKUP($A183,Questions!$B:$AA,23,FALSE))</f>
        <v xml:space="preserve"> </v>
      </c>
      <c r="G183" s="30" t="str">
        <f>IF(LEN(VLOOKUP($A183,Questions!$B:$AA,24,FALSE))=0,"",VLOOKUP($A183,Questions!$B:$AA,24,FALSE))</f>
        <v xml:space="preserve"> </v>
      </c>
      <c r="H183" s="15" t="str">
        <f>IF(LEN(VLOOKUP($A183,Questions!$B:$AA,25,FALSE))=0,"",VLOOKUP($A183,Questions!$B:$AA,25,FALSE))</f>
        <v xml:space="preserve"> </v>
      </c>
      <c r="I183" s="15" t="str">
        <f>IF(LEN(VLOOKUP($A183,Questions!$B:$AA,26,FALSE))=0,"",VLOOKUP($A183,Questions!$B:$AA,26,FALSE))</f>
        <v xml:space="preserve"> </v>
      </c>
      <c r="J183" s="15" t="str">
        <f>IF(LEN(VLOOKUP($A183,Questions!$B:$AB,27,FALSE))=0,"",VLOOKUP($A183,Questions!$B:$AB,27,FALSE))</f>
        <v xml:space="preserve"> </v>
      </c>
      <c r="K183"/>
    </row>
    <row r="184" spans="1:11" ht="47.25" customHeight="1">
      <c r="A184" s="10" t="s">
        <v>371</v>
      </c>
      <c r="B184" s="23" t="str">
        <f>VLOOKUP(A184,'HECVAT - Full | Vendor Response'!A$27:B$284,2,FALSE)</f>
        <v>Are any disaster recovery locations outside the institution's geographic region?</v>
      </c>
      <c r="C184" s="30" t="str">
        <f>IF(LEN(VLOOKUP($A184,Questions!$B:$AA,20,FALSE))=0,"",VLOOKUP($A184,Questions!$B:$AA,20,FALSE))</f>
        <v xml:space="preserve"> </v>
      </c>
      <c r="D184" s="32" t="str">
        <f>IF(LEN(VLOOKUP($A184,Questions!$B:$AA,21,FALSE))=0,"",VLOOKUP($A184,Questions!$B:$AA,21,FALSE))</f>
        <v xml:space="preserve"> </v>
      </c>
      <c r="E184" s="30" t="str">
        <f>IF(LEN(VLOOKUP($A184,Questions!$B:$AA,22,FALSE))=0,"",VLOOKUP($A184,Questions!$B:$AA,22,FALSE))</f>
        <v xml:space="preserve"> </v>
      </c>
      <c r="F184" s="30" t="str">
        <f>IF(LEN(VLOOKUP($A184,Questions!$B:$AA,23,FALSE))=0,"",VLOOKUP($A184,Questions!$B:$AA,23,FALSE))</f>
        <v xml:space="preserve"> </v>
      </c>
      <c r="G184" s="31" t="str">
        <f>IF(LEN(VLOOKUP($A184,Questions!$B:$AA,24,FALSE))=0,"",VLOOKUP($A184,Questions!$B:$AA,24,FALSE))</f>
        <v xml:space="preserve"> </v>
      </c>
      <c r="H184" s="15" t="str">
        <f>IF(LEN(VLOOKUP($A184,Questions!$B:$AA,25,FALSE))=0,"",VLOOKUP($A184,Questions!$B:$AA,25,FALSE))</f>
        <v xml:space="preserve"> </v>
      </c>
      <c r="I184" s="15" t="str">
        <f>IF(LEN(VLOOKUP($A184,Questions!$B:$AA,26,FALSE))=0,"",VLOOKUP($A184,Questions!$B:$AA,26,FALSE))</f>
        <v xml:space="preserve"> </v>
      </c>
      <c r="J184" s="15" t="str">
        <f>IF(LEN(VLOOKUP($A184,Questions!$B:$AB,27,FALSE))=0,"",VLOOKUP($A184,Questions!$B:$AB,27,FALSE))</f>
        <v xml:space="preserve"> </v>
      </c>
      <c r="K184"/>
    </row>
    <row r="185" spans="1:11" ht="47.25" customHeight="1">
      <c r="A185" s="10" t="s">
        <v>372</v>
      </c>
      <c r="B185" s="23" t="str">
        <f>VLOOKUP(A185,'HECVAT - Full | Vendor Response'!A$27:B$284,2,FALSE)</f>
        <v>Does your organization have a disaster recovery site or a contracted disaster recovery provider?</v>
      </c>
      <c r="C185" s="30" t="str">
        <f>IF(LEN(VLOOKUP($A185,Questions!$B:$AA,20,FALSE))=0,"",VLOOKUP($A185,Questions!$B:$AA,20,FALSE))</f>
        <v xml:space="preserve"> </v>
      </c>
      <c r="D185" s="32" t="str">
        <f>IF(LEN(VLOOKUP($A185,Questions!$B:$AA,21,FALSE))=0,"",VLOOKUP($A185,Questions!$B:$AA,21,FALSE))</f>
        <v xml:space="preserve"> </v>
      </c>
      <c r="E185" s="30" t="str">
        <f>IF(LEN(VLOOKUP($A185,Questions!$B:$AA,22,FALSE))=0,"",VLOOKUP($A185,Questions!$B:$AA,22,FALSE))</f>
        <v xml:space="preserve"> </v>
      </c>
      <c r="F185" s="30" t="str">
        <f>IF(LEN(VLOOKUP($A185,Questions!$B:$AA,23,FALSE))=0,"",VLOOKUP($A185,Questions!$B:$AA,23,FALSE))</f>
        <v xml:space="preserve"> </v>
      </c>
      <c r="G185" s="31" t="str">
        <f>IF(LEN(VLOOKUP($A185,Questions!$B:$AA,24,FALSE))=0,"",VLOOKUP($A185,Questions!$B:$AA,24,FALSE))</f>
        <v xml:space="preserve"> </v>
      </c>
      <c r="H185" s="15" t="str">
        <f>IF(LEN(VLOOKUP($A185,Questions!$B:$AA,25,FALSE))=0,"",VLOOKUP($A185,Questions!$B:$AA,25,FALSE))</f>
        <v xml:space="preserve"> </v>
      </c>
      <c r="I185" s="31" t="str">
        <f>IF(LEN(VLOOKUP($A185,Questions!$B:$AA,26,FALSE))=0,"",VLOOKUP($A185,Questions!$B:$AA,26,FALSE))</f>
        <v xml:space="preserve"> </v>
      </c>
      <c r="J185" s="31" t="str">
        <f>IF(LEN(VLOOKUP($A185,Questions!$B:$AB,27,FALSE))=0,"",VLOOKUP($A185,Questions!$B:$AB,27,FALSE))</f>
        <v xml:space="preserve"> </v>
      </c>
      <c r="K185"/>
    </row>
    <row r="186" spans="1:11" ht="47.25" customHeight="1">
      <c r="A186" s="10" t="s">
        <v>373</v>
      </c>
      <c r="B186" s="23" t="str">
        <f>VLOOKUP(A186,'HECVAT - Full | Vendor Response'!A$27:B$284,2,FALSE)</f>
        <v>Does your organization conduct an annual test of relocating to this site for disaster recovery purposes?</v>
      </c>
      <c r="C186" s="30" t="str">
        <f>IF(LEN(VLOOKUP($A186,Questions!$B:$AA,20,FALSE))=0,"",VLOOKUP($A186,Questions!$B:$AA,20,FALSE))</f>
        <v xml:space="preserve"> </v>
      </c>
      <c r="D186" s="32" t="str">
        <f>IF(LEN(VLOOKUP($A186,Questions!$B:$AA,21,FALSE))=0,"",VLOOKUP($A186,Questions!$B:$AA,21,FALSE))</f>
        <v xml:space="preserve"> </v>
      </c>
      <c r="E186" s="30" t="str">
        <f>IF(LEN(VLOOKUP($A186,Questions!$B:$AA,22,FALSE))=0,"",VLOOKUP($A186,Questions!$B:$AA,22,FALSE))</f>
        <v xml:space="preserve"> </v>
      </c>
      <c r="F186" s="30" t="str">
        <f>IF(LEN(VLOOKUP($A186,Questions!$B:$AA,23,FALSE))=0,"",VLOOKUP($A186,Questions!$B:$AA,23,FALSE))</f>
        <v xml:space="preserve"> </v>
      </c>
      <c r="G186" s="31" t="str">
        <f>IF(LEN(VLOOKUP($A186,Questions!$B:$AA,24,FALSE))=0,"",VLOOKUP($A186,Questions!$B:$AA,24,FALSE))</f>
        <v xml:space="preserve"> </v>
      </c>
      <c r="H186" s="15" t="str">
        <f>IF(LEN(VLOOKUP($A186,Questions!$B:$AA,25,FALSE))=0,"",VLOOKUP($A186,Questions!$B:$AA,25,FALSE))</f>
        <v xml:space="preserve"> </v>
      </c>
      <c r="I186" s="31" t="str">
        <f>IF(LEN(VLOOKUP($A186,Questions!$B:$AA,26,FALSE))=0,"",VLOOKUP($A186,Questions!$B:$AA,26,FALSE))</f>
        <v xml:space="preserve"> </v>
      </c>
      <c r="J186" s="31" t="str">
        <f>IF(LEN(VLOOKUP($A186,Questions!$B:$AB,27,FALSE))=0,"",VLOOKUP($A186,Questions!$B:$AB,27,FALSE))</f>
        <v xml:space="preserve"> </v>
      </c>
      <c r="K186"/>
    </row>
    <row r="187" spans="1:11" ht="47.25" customHeight="1">
      <c r="A187" s="10" t="s">
        <v>375</v>
      </c>
      <c r="B187" s="23" t="str">
        <f>VLOOKUP(A187,'HECVAT - Full | Vendor Response'!A$27:B$284,2,FALSE)</f>
        <v>Is there a defined problem/issue escalation plan in your DRP for impacted clients?</v>
      </c>
      <c r="C187" s="30" t="str">
        <f>IF(LEN(VLOOKUP($A187,Questions!$B:$AA,20,FALSE))=0,"",VLOOKUP($A187,Questions!$B:$AA,20,FALSE))</f>
        <v xml:space="preserve"> </v>
      </c>
      <c r="D187" s="32" t="str">
        <f>IF(LEN(VLOOKUP($A187,Questions!$B:$AA,21,FALSE))=0,"",VLOOKUP($A187,Questions!$B:$AA,21,FALSE))</f>
        <v xml:space="preserve"> </v>
      </c>
      <c r="E187" s="31" t="str">
        <f>IF(LEN(VLOOKUP($A187,Questions!$B:$AA,22,FALSE))=0,"",VLOOKUP($A187,Questions!$B:$AA,22,FALSE))</f>
        <v xml:space="preserve"> </v>
      </c>
      <c r="F187" s="30" t="str">
        <f>IF(LEN(VLOOKUP($A187,Questions!$B:$AA,23,FALSE))=0,"",VLOOKUP($A187,Questions!$B:$AA,23,FALSE))</f>
        <v xml:space="preserve"> </v>
      </c>
      <c r="G187" s="30" t="str">
        <f>IF(LEN(VLOOKUP($A187,Questions!$B:$AA,24,FALSE))=0,"",VLOOKUP($A187,Questions!$B:$AA,24,FALSE))</f>
        <v xml:space="preserve"> </v>
      </c>
      <c r="H187" s="15" t="str">
        <f>IF(LEN(VLOOKUP($A187,Questions!$B:$AA,25,FALSE))=0,"",VLOOKUP($A187,Questions!$B:$AA,25,FALSE))</f>
        <v xml:space="preserve"> </v>
      </c>
      <c r="I187" s="15" t="str">
        <f>IF(LEN(VLOOKUP($A187,Questions!$B:$AA,26,FALSE))=0,"",VLOOKUP($A187,Questions!$B:$AA,26,FALSE))</f>
        <v xml:space="preserve"> </v>
      </c>
      <c r="J187" s="15" t="str">
        <f>IF(LEN(VLOOKUP($A187,Questions!$B:$AB,27,FALSE))=0,"",VLOOKUP($A187,Questions!$B:$AB,27,FALSE))</f>
        <v xml:space="preserve"> </v>
      </c>
      <c r="K187"/>
    </row>
    <row r="188" spans="1:11" ht="47.25" customHeight="1">
      <c r="A188" s="10" t="s">
        <v>377</v>
      </c>
      <c r="B188" s="23" t="str">
        <f>VLOOKUP(A188,'HECVAT - Full | Vendor Response'!A$27:B$284,2,FALSE)</f>
        <v>Is there a documented communication plan in your DRP for impacted clients?</v>
      </c>
      <c r="C188" s="30" t="str">
        <f>IF(LEN(VLOOKUP($A188,Questions!$B:$AA,20,FALSE))=0,"",VLOOKUP($A188,Questions!$B:$AA,20,FALSE))</f>
        <v xml:space="preserve"> </v>
      </c>
      <c r="D188" s="32" t="str">
        <f>IF(LEN(VLOOKUP($A188,Questions!$B:$AA,21,FALSE))=0,"",VLOOKUP($A188,Questions!$B:$AA,21,FALSE))</f>
        <v xml:space="preserve"> </v>
      </c>
      <c r="E188" s="30" t="str">
        <f>IF(LEN(VLOOKUP($A188,Questions!$B:$AA,22,FALSE))=0,"",VLOOKUP($A188,Questions!$B:$AA,22,FALSE))</f>
        <v xml:space="preserve"> </v>
      </c>
      <c r="F188" s="30" t="str">
        <f>IF(LEN(VLOOKUP($A188,Questions!$B:$AA,23,FALSE))=0,"",VLOOKUP($A188,Questions!$B:$AA,23,FALSE))</f>
        <v xml:space="preserve"> </v>
      </c>
      <c r="G188" s="30" t="str">
        <f>IF(LEN(VLOOKUP($A188,Questions!$B:$AA,24,FALSE))=0,"",VLOOKUP($A188,Questions!$B:$AA,24,FALSE))</f>
        <v xml:space="preserve"> </v>
      </c>
      <c r="H188" s="15" t="str">
        <f>IF(LEN(VLOOKUP($A188,Questions!$B:$AA,25,FALSE))=0,"",VLOOKUP($A188,Questions!$B:$AA,25,FALSE))</f>
        <v xml:space="preserve"> </v>
      </c>
      <c r="I188" s="15" t="str">
        <f>IF(LEN(VLOOKUP($A188,Questions!$B:$AA,26,FALSE))=0,"",VLOOKUP($A188,Questions!$B:$AA,26,FALSE))</f>
        <v xml:space="preserve"> </v>
      </c>
      <c r="J188" s="15" t="str">
        <f>IF(LEN(VLOOKUP($A188,Questions!$B:$AB,27,FALSE))=0,"",VLOOKUP($A188,Questions!$B:$AB,27,FALSE))</f>
        <v xml:space="preserve"> </v>
      </c>
      <c r="K188"/>
    </row>
    <row r="189" spans="1:11" ht="64.5" customHeight="1">
      <c r="A189" s="10" t="s">
        <v>378</v>
      </c>
      <c r="B189" s="23" t="str">
        <f>VLOOKUP(A189,'HECVAT - Full | Vendor Response'!A$27:B$284,2,FALSE)</f>
        <v>Describe or provide a reference to how your disaster recovery plan is tested. (i.e., scope of DR tests, end-to-end testing, etc.)</v>
      </c>
      <c r="C189" s="30" t="str">
        <f>IF(LEN(VLOOKUP($A189,Questions!$B:$AA,20,FALSE))=0,"",VLOOKUP($A189,Questions!$B:$AA,20,FALSE))</f>
        <v xml:space="preserve"> </v>
      </c>
      <c r="D189" s="32" t="str">
        <f>IF(LEN(VLOOKUP($A189,Questions!$B:$AA,21,FALSE))=0,"",VLOOKUP($A189,Questions!$B:$AA,21,FALSE))</f>
        <v xml:space="preserve"> </v>
      </c>
      <c r="E189" s="30" t="str">
        <f>IF(LEN(VLOOKUP($A189,Questions!$B:$AA,22,FALSE))=0,"",VLOOKUP($A189,Questions!$B:$AA,22,FALSE))</f>
        <v xml:space="preserve"> </v>
      </c>
      <c r="F189" s="30" t="str">
        <f>IF(LEN(VLOOKUP($A189,Questions!$B:$AA,23,FALSE))=0,"",VLOOKUP($A189,Questions!$B:$AA,23,FALSE))</f>
        <v xml:space="preserve"> </v>
      </c>
      <c r="G189" s="30" t="str">
        <f>IF(LEN(VLOOKUP($A189,Questions!$B:$AA,24,FALSE))=0,"",VLOOKUP($A189,Questions!$B:$AA,24,FALSE))</f>
        <v xml:space="preserve"> </v>
      </c>
      <c r="H189" s="15" t="str">
        <f>IF(LEN(VLOOKUP($A189,Questions!$B:$AA,25,FALSE))=0,"",VLOOKUP($A189,Questions!$B:$AA,25,FALSE))</f>
        <v xml:space="preserve"> </v>
      </c>
      <c r="I189" s="31" t="str">
        <f>IF(LEN(VLOOKUP($A189,Questions!$B:$AA,26,FALSE))=0,"",VLOOKUP($A189,Questions!$B:$AA,26,FALSE))</f>
        <v xml:space="preserve"> </v>
      </c>
      <c r="J189" s="31" t="str">
        <f>IF(LEN(VLOOKUP($A189,Questions!$B:$AB,27,FALSE))=0,"",VLOOKUP($A189,Questions!$B:$AB,27,FALSE))</f>
        <v xml:space="preserve"> </v>
      </c>
      <c r="K189"/>
    </row>
    <row r="190" spans="1:11" ht="64.5" customHeight="1">
      <c r="A190" s="10" t="s">
        <v>380</v>
      </c>
      <c r="B190" s="23" t="str">
        <f>VLOOKUP(A190,'HECVAT - Full | Vendor Response'!A$27:B$284,2,FALSE)</f>
        <v>Has the Disaster Recovery Plan been tested in the past year?</v>
      </c>
      <c r="C190" s="30" t="str">
        <f>IF(LEN(VLOOKUP($A190,Questions!$B:$AA,20,FALSE))=0,"",VLOOKUP($A190,Questions!$B:$AA,20,FALSE))</f>
        <v xml:space="preserve"> </v>
      </c>
      <c r="D190" s="32" t="str">
        <f>IF(LEN(VLOOKUP($A190,Questions!$B:$AA,21,FALSE))=0,"",VLOOKUP($A190,Questions!$B:$AA,21,FALSE))</f>
        <v xml:space="preserve"> </v>
      </c>
      <c r="E190" s="30" t="str">
        <f>IF(LEN(VLOOKUP($A190,Questions!$B:$AA,22,FALSE))=0,"",VLOOKUP($A190,Questions!$B:$AA,22,FALSE))</f>
        <v xml:space="preserve"> </v>
      </c>
      <c r="F190" s="30" t="str">
        <f>IF(LEN(VLOOKUP($A190,Questions!$B:$AA,23,FALSE))=0,"",VLOOKUP($A190,Questions!$B:$AA,23,FALSE))</f>
        <v xml:space="preserve"> </v>
      </c>
      <c r="G190" s="30" t="str">
        <f>IF(LEN(VLOOKUP($A190,Questions!$B:$AA,24,FALSE))=0,"",VLOOKUP($A190,Questions!$B:$AA,24,FALSE))</f>
        <v xml:space="preserve"> </v>
      </c>
      <c r="H190" s="15" t="str">
        <f>IF(LEN(VLOOKUP($A190,Questions!$B:$AA,25,FALSE))=0,"",VLOOKUP($A190,Questions!$B:$AA,25,FALSE))</f>
        <v xml:space="preserve"> </v>
      </c>
      <c r="I190" s="31" t="str">
        <f>IF(LEN(VLOOKUP($A190,Questions!$B:$AA,26,FALSE))=0,"",VLOOKUP($A190,Questions!$B:$AA,26,FALSE))</f>
        <v xml:space="preserve"> </v>
      </c>
      <c r="J190" s="31" t="str">
        <f>IF(LEN(VLOOKUP($A190,Questions!$B:$AB,27,FALSE))=0,"",VLOOKUP($A190,Questions!$B:$AB,27,FALSE))</f>
        <v xml:space="preserve"> </v>
      </c>
      <c r="K190"/>
    </row>
    <row r="191" spans="1:11" ht="48" customHeight="1">
      <c r="A191" s="10" t="s">
        <v>382</v>
      </c>
      <c r="B191" s="23" t="str">
        <f>VLOOKUP(A191,'HECVAT - Full | Vendor Response'!A$27:B$284,2,FALSE)</f>
        <v>Are all components of the DRP reviewed at least annually and updated as needed to reflect change?</v>
      </c>
      <c r="C191" s="30" t="str">
        <f>IF(LEN(VLOOKUP($A191,Questions!$B:$AA,20,FALSE))=0,"",VLOOKUP($A191,Questions!$B:$AA,20,FALSE))</f>
        <v xml:space="preserve"> </v>
      </c>
      <c r="D191" s="32" t="str">
        <f>IF(LEN(VLOOKUP($A191,Questions!$B:$AA,21,FALSE))=0,"",VLOOKUP($A191,Questions!$B:$AA,21,FALSE))</f>
        <v xml:space="preserve"> </v>
      </c>
      <c r="E191" s="30" t="str">
        <f>IF(LEN(VLOOKUP($A191,Questions!$B:$AA,22,FALSE))=0,"",VLOOKUP($A191,Questions!$B:$AA,22,FALSE))</f>
        <v xml:space="preserve"> </v>
      </c>
      <c r="F191" s="30" t="str">
        <f>IF(LEN(VLOOKUP($A191,Questions!$B:$AA,23,FALSE))=0,"",VLOOKUP($A191,Questions!$B:$AA,23,FALSE))</f>
        <v xml:space="preserve"> </v>
      </c>
      <c r="G191" s="31" t="str">
        <f>IF(LEN(VLOOKUP($A191,Questions!$B:$AA,24,FALSE))=0,"",VLOOKUP($A191,Questions!$B:$AA,24,FALSE))</f>
        <v xml:space="preserve"> </v>
      </c>
      <c r="H191" s="15" t="str">
        <f>IF(LEN(VLOOKUP($A191,Questions!$B:$AA,25,FALSE))=0,"",VLOOKUP($A191,Questions!$B:$AA,25,FALSE))</f>
        <v xml:space="preserve"> </v>
      </c>
      <c r="I191" s="15" t="str">
        <f>IF(LEN(VLOOKUP($A191,Questions!$B:$AA,26,FALSE))=0,"",VLOOKUP($A191,Questions!$B:$AA,26,FALSE))</f>
        <v xml:space="preserve"> </v>
      </c>
      <c r="J191" s="15" t="str">
        <f>IF(LEN(VLOOKUP($A191,Questions!$B:$AB,27,FALSE))=0,"",VLOOKUP($A191,Questions!$B:$AB,27,FALSE))</f>
        <v xml:space="preserve"> </v>
      </c>
      <c r="K191" s="238" t="s">
        <v>3325</v>
      </c>
    </row>
    <row r="192" spans="1:11" ht="36" customHeight="1">
      <c r="A192" s="283" t="str">
        <f>IF($C$31="","Firewalls, IDS, IPS, and Networking",IF($C$31="Yes","FW/IDPS/Networks - Optional based on QUALIFIER response.","Firewalls, IDS, IPS, and Networking"))</f>
        <v>Firewalls, IDS, IPS, and Networking</v>
      </c>
      <c r="B192" s="283"/>
      <c r="C192" s="18" t="str">
        <f>C$23</f>
        <v>CIS Critical Security Controls v6.1</v>
      </c>
      <c r="D192" s="18" t="str">
        <f t="shared" ref="D192:J192" si="12">D$23</f>
        <v>HIPAA</v>
      </c>
      <c r="E192" s="18" t="str">
        <f t="shared" si="12"/>
        <v>ISO 27002:27013</v>
      </c>
      <c r="F192" s="18" t="str">
        <f t="shared" si="12"/>
        <v>NIST Cybersecurity Framework</v>
      </c>
      <c r="G192" s="18" t="str">
        <f t="shared" si="12"/>
        <v>NIST SP 800-171r2</v>
      </c>
      <c r="H192" s="18" t="str">
        <f t="shared" si="12"/>
        <v>NIST SP 800-53r4</v>
      </c>
      <c r="I192" s="18" t="str">
        <f t="shared" si="12"/>
        <v>PCI DSS</v>
      </c>
      <c r="J192" s="18" t="str">
        <f t="shared" si="12"/>
        <v>Trusted CI</v>
      </c>
      <c r="K192"/>
    </row>
    <row r="193" spans="1:11" ht="36" customHeight="1">
      <c r="A193" s="10" t="s">
        <v>384</v>
      </c>
      <c r="B193" s="23" t="str">
        <f>VLOOKUP(A193,'HECVAT - Full | Vendor Response'!A$27:B$284,2,FALSE)</f>
        <v>Are you utilizing a stateful packet inspection (SPI) firewall?</v>
      </c>
      <c r="C193" s="30" t="str">
        <f>IF(LEN(VLOOKUP($A193,Questions!$B:$AA,20,FALSE))=0,"",VLOOKUP($A193,Questions!$B:$AA,20,FALSE))</f>
        <v xml:space="preserve"> </v>
      </c>
      <c r="D193" s="32" t="str">
        <f>IF(LEN(VLOOKUP($A193,Questions!$B:$AA,21,FALSE))=0,"",VLOOKUP($A193,Questions!$B:$AA,21,FALSE))</f>
        <v xml:space="preserve"> </v>
      </c>
      <c r="E193" s="30" t="str">
        <f>IF(LEN(VLOOKUP($A193,Questions!$B:$AA,22,FALSE))=0,"",VLOOKUP($A193,Questions!$B:$AA,22,FALSE))</f>
        <v xml:space="preserve"> </v>
      </c>
      <c r="F193" s="30" t="str">
        <f>IF(LEN(VLOOKUP($A193,Questions!$B:$AA,23,FALSE))=0,"",VLOOKUP($A193,Questions!$B:$AA,23,FALSE))</f>
        <v xml:space="preserve"> </v>
      </c>
      <c r="G193" s="31" t="str">
        <f>IF(LEN(VLOOKUP($A193,Questions!$B:$AA,24,FALSE))=0,"",VLOOKUP($A193,Questions!$B:$AA,24,FALSE))</f>
        <v xml:space="preserve"> </v>
      </c>
      <c r="H193" s="31" t="str">
        <f>IF(LEN(VLOOKUP($A193,Questions!$B:$AA,25,FALSE))=0,"",VLOOKUP($A193,Questions!$B:$AA,25,FALSE))</f>
        <v xml:space="preserve"> </v>
      </c>
      <c r="I193" s="222" t="str">
        <f>IF(LEN(VLOOKUP($A193,Questions!$B:$AA,26,FALSE))=0,"",VLOOKUP($A193,Questions!$B:$AA,26,FALSE))</f>
        <v xml:space="preserve"> </v>
      </c>
      <c r="J193" s="222" t="str">
        <f>IF(LEN(VLOOKUP($A193,Questions!$B:$AB,27,FALSE))=0,"",VLOOKUP($A193,Questions!$B:$AB,27,FALSE))</f>
        <v xml:space="preserve"> </v>
      </c>
      <c r="K193"/>
    </row>
    <row r="194" spans="1:11" ht="36" customHeight="1">
      <c r="A194" s="10" t="s">
        <v>386</v>
      </c>
      <c r="B194" s="23" t="str">
        <f>VLOOKUP(A194,'HECVAT - Full | Vendor Response'!A$27:B$284,2,FALSE)</f>
        <v>Is authority for firewall change approval documented? Please list approver names or titles in Additional Info</v>
      </c>
      <c r="C194" s="30" t="str">
        <f>IF(LEN(VLOOKUP($A194,Questions!$B:$AA,20,FALSE))=0,"",VLOOKUP($A194,Questions!$B:$AA,20,FALSE))</f>
        <v xml:space="preserve"> </v>
      </c>
      <c r="D194" s="32" t="str">
        <f>IF(LEN(VLOOKUP($A194,Questions!$B:$AA,21,FALSE))=0,"",VLOOKUP($A194,Questions!$B:$AA,21,FALSE))</f>
        <v xml:space="preserve"> </v>
      </c>
      <c r="E194" s="30" t="str">
        <f>IF(LEN(VLOOKUP($A194,Questions!$B:$AA,22,FALSE))=0,"",VLOOKUP($A194,Questions!$B:$AA,22,FALSE))</f>
        <v xml:space="preserve"> </v>
      </c>
      <c r="F194" s="30" t="str">
        <f>IF(LEN(VLOOKUP($A194,Questions!$B:$AA,23,FALSE))=0,"",VLOOKUP($A194,Questions!$B:$AA,23,FALSE))</f>
        <v xml:space="preserve"> </v>
      </c>
      <c r="G194" s="31" t="str">
        <f>IF(LEN(VLOOKUP($A194,Questions!$B:$AA,24,FALSE))=0,"",VLOOKUP($A194,Questions!$B:$AA,24,FALSE))</f>
        <v xml:space="preserve"> </v>
      </c>
      <c r="H194" s="31" t="str">
        <f>IF(LEN(VLOOKUP($A194,Questions!$B:$AA,25,FALSE))=0,"",VLOOKUP($A194,Questions!$B:$AA,25,FALSE))</f>
        <v xml:space="preserve"> </v>
      </c>
      <c r="I194" s="222" t="str">
        <f>IF(LEN(VLOOKUP($A194,Questions!$B:$AA,26,FALSE))=0,"",VLOOKUP($A194,Questions!$B:$AA,26,FALSE))</f>
        <v xml:space="preserve"> </v>
      </c>
      <c r="J194" s="222" t="str">
        <f>IF(LEN(VLOOKUP($A194,Questions!$B:$AB,27,FALSE))=0,"",VLOOKUP($A194,Questions!$B:$AB,27,FALSE))</f>
        <v xml:space="preserve"> </v>
      </c>
      <c r="K194"/>
    </row>
    <row r="195" spans="1:11" ht="48" customHeight="1">
      <c r="A195" s="10" t="s">
        <v>388</v>
      </c>
      <c r="B195" s="23" t="str">
        <f>VLOOKUP(A195,'HECVAT - Full | Vendor Response'!A$27:B$284,2,FALSE)</f>
        <v>Do you have a documented policy for firewall change requests?</v>
      </c>
      <c r="C195" s="30" t="str">
        <f>IF(LEN(VLOOKUP($A195,Questions!$B:$AA,20,FALSE))=0,"",VLOOKUP($A195,Questions!$B:$AA,20,FALSE))</f>
        <v xml:space="preserve"> </v>
      </c>
      <c r="D195" s="32" t="str">
        <f>IF(LEN(VLOOKUP($A195,Questions!$B:$AA,21,FALSE))=0,"",VLOOKUP($A195,Questions!$B:$AA,21,FALSE))</f>
        <v xml:space="preserve"> </v>
      </c>
      <c r="E195" s="30" t="str">
        <f>IF(LEN(VLOOKUP($A195,Questions!$B:$AA,22,FALSE))=0,"",VLOOKUP($A195,Questions!$B:$AA,22,FALSE))</f>
        <v xml:space="preserve"> </v>
      </c>
      <c r="F195" s="30" t="str">
        <f>IF(LEN(VLOOKUP($A195,Questions!$B:$AA,23,FALSE))=0,"",VLOOKUP($A195,Questions!$B:$AA,23,FALSE))</f>
        <v xml:space="preserve"> </v>
      </c>
      <c r="G195" s="31" t="str">
        <f>IF(LEN(VLOOKUP($A195,Questions!$B:$AA,24,FALSE))=0,"",VLOOKUP($A195,Questions!$B:$AA,24,FALSE))</f>
        <v xml:space="preserve"> </v>
      </c>
      <c r="H195" s="31" t="str">
        <f>IF(LEN(VLOOKUP($A195,Questions!$B:$AA,25,FALSE))=0,"",VLOOKUP($A195,Questions!$B:$AA,25,FALSE))</f>
        <v xml:space="preserve"> </v>
      </c>
      <c r="I195" s="222" t="str">
        <f>IF(LEN(VLOOKUP($A195,Questions!$B:$AA,26,FALSE))=0,"",VLOOKUP($A195,Questions!$B:$AA,26,FALSE))</f>
        <v xml:space="preserve"> </v>
      </c>
      <c r="J195" s="222" t="str">
        <f>IF(LEN(VLOOKUP($A195,Questions!$B:$AB,27,FALSE))=0,"",VLOOKUP($A195,Questions!$B:$AB,27,FALSE))</f>
        <v xml:space="preserve"> </v>
      </c>
      <c r="K195"/>
    </row>
    <row r="196" spans="1:11" ht="36" customHeight="1">
      <c r="A196" s="10" t="s">
        <v>390</v>
      </c>
      <c r="B196" s="23" t="str">
        <f>VLOOKUP(A196,'HECVAT - Full | Vendor Response'!A$27:B$284,2,FALSE)</f>
        <v>Have you implemented an Intrusion Detection System (network-based)?</v>
      </c>
      <c r="C196" s="30" t="str">
        <f>IF(LEN(VLOOKUP($A196,Questions!$B:$AA,20,FALSE))=0,"",VLOOKUP($A196,Questions!$B:$AA,20,FALSE))</f>
        <v xml:space="preserve"> </v>
      </c>
      <c r="D196" s="32" t="str">
        <f>IF(LEN(VLOOKUP($A196,Questions!$B:$AA,21,FALSE))=0,"",VLOOKUP($A196,Questions!$B:$AA,21,FALSE))</f>
        <v xml:space="preserve"> </v>
      </c>
      <c r="E196" s="30" t="str">
        <f>IF(LEN(VLOOKUP($A196,Questions!$B:$AA,22,FALSE))=0,"",VLOOKUP($A196,Questions!$B:$AA,22,FALSE))</f>
        <v xml:space="preserve"> </v>
      </c>
      <c r="F196" s="30" t="str">
        <f>IF(LEN(VLOOKUP($A196,Questions!$B:$AA,23,FALSE))=0,"",VLOOKUP($A196,Questions!$B:$AA,23,FALSE))</f>
        <v xml:space="preserve"> </v>
      </c>
      <c r="G196" s="31" t="str">
        <f>IF(LEN(VLOOKUP($A196,Questions!$B:$AA,24,FALSE))=0,"",VLOOKUP($A196,Questions!$B:$AA,24,FALSE))</f>
        <v xml:space="preserve"> </v>
      </c>
      <c r="H196" s="31" t="str">
        <f>IF(LEN(VLOOKUP($A196,Questions!$B:$AA,25,FALSE))=0,"",VLOOKUP($A196,Questions!$B:$AA,25,FALSE))</f>
        <v xml:space="preserve"> </v>
      </c>
      <c r="I196" s="222" t="str">
        <f>IF(LEN(VLOOKUP($A196,Questions!$B:$AA,26,FALSE))=0,"",VLOOKUP($A196,Questions!$B:$AA,26,FALSE))</f>
        <v xml:space="preserve"> </v>
      </c>
      <c r="J196" s="222" t="str">
        <f>IF(LEN(VLOOKUP($A196,Questions!$B:$AB,27,FALSE))=0,"",VLOOKUP($A196,Questions!$B:$AB,27,FALSE))</f>
        <v xml:space="preserve"> </v>
      </c>
      <c r="K196"/>
    </row>
    <row r="197" spans="1:11" ht="36" customHeight="1">
      <c r="A197" s="10" t="s">
        <v>392</v>
      </c>
      <c r="B197" s="23" t="str">
        <f>VLOOKUP(A197,'HECVAT - Full | Vendor Response'!A$27:B$284,2,FALSE)</f>
        <v>Have you implemented an Intrusion Prevention System (network-based)?</v>
      </c>
      <c r="C197" s="30" t="str">
        <f>IF(LEN(VLOOKUP($A197,Questions!$B:$AA,20,FALSE))=0,"",VLOOKUP($A197,Questions!$B:$AA,20,FALSE))</f>
        <v xml:space="preserve"> </v>
      </c>
      <c r="D197" s="32" t="str">
        <f>IF(LEN(VLOOKUP($A197,Questions!$B:$AA,21,FALSE))=0,"",VLOOKUP($A197,Questions!$B:$AA,21,FALSE))</f>
        <v xml:space="preserve"> </v>
      </c>
      <c r="E197" s="30" t="str">
        <f>IF(LEN(VLOOKUP($A197,Questions!$B:$AA,22,FALSE))=0,"",VLOOKUP($A197,Questions!$B:$AA,22,FALSE))</f>
        <v xml:space="preserve"> </v>
      </c>
      <c r="F197" s="30" t="str">
        <f>IF(LEN(VLOOKUP($A197,Questions!$B:$AA,23,FALSE))=0,"",VLOOKUP($A197,Questions!$B:$AA,23,FALSE))</f>
        <v xml:space="preserve"> </v>
      </c>
      <c r="G197" s="30" t="str">
        <f>IF(LEN(VLOOKUP($A197,Questions!$B:$AA,24,FALSE))=0,"",VLOOKUP($A197,Questions!$B:$AA,24,FALSE))</f>
        <v xml:space="preserve"> </v>
      </c>
      <c r="H197" s="30" t="str">
        <f>IF(LEN(VLOOKUP($A197,Questions!$B:$AA,25,FALSE))=0,"",VLOOKUP($A197,Questions!$B:$AA,25,FALSE))</f>
        <v xml:space="preserve"> </v>
      </c>
      <c r="I197" s="222" t="str">
        <f>IF(LEN(VLOOKUP($A197,Questions!$B:$AA,26,FALSE))=0,"",VLOOKUP($A197,Questions!$B:$AA,26,FALSE))</f>
        <v xml:space="preserve"> </v>
      </c>
      <c r="J197" s="222" t="str">
        <f>IF(LEN(VLOOKUP($A197,Questions!$B:$AB,27,FALSE))=0,"",VLOOKUP($A197,Questions!$B:$AB,27,FALSE))</f>
        <v xml:space="preserve"> </v>
      </c>
      <c r="K197"/>
    </row>
    <row r="198" spans="1:11" ht="36" customHeight="1">
      <c r="A198" s="10" t="s">
        <v>394</v>
      </c>
      <c r="B198" s="23" t="str">
        <f>VLOOKUP(A198,'HECVAT - Full | Vendor Response'!A$27:B$284,2,FALSE)</f>
        <v>Do you employ host-based intrusion detection?</v>
      </c>
      <c r="C198" s="30" t="str">
        <f>IF(LEN(VLOOKUP($A198,Questions!$B:$AA,20,FALSE))=0,"",VLOOKUP($A198,Questions!$B:$AA,20,FALSE))</f>
        <v xml:space="preserve"> </v>
      </c>
      <c r="D198" s="32" t="str">
        <f>IF(LEN(VLOOKUP($A198,Questions!$B:$AA,21,FALSE))=0,"",VLOOKUP($A198,Questions!$B:$AA,21,FALSE))</f>
        <v xml:space="preserve"> </v>
      </c>
      <c r="E198" s="30" t="str">
        <f>IF(LEN(VLOOKUP($A198,Questions!$B:$AA,22,FALSE))=0,"",VLOOKUP($A198,Questions!$B:$AA,22,FALSE))</f>
        <v xml:space="preserve"> </v>
      </c>
      <c r="F198" s="30" t="str">
        <f>IF(LEN(VLOOKUP($A198,Questions!$B:$AA,23,FALSE))=0,"",VLOOKUP($A198,Questions!$B:$AA,23,FALSE))</f>
        <v xml:space="preserve"> </v>
      </c>
      <c r="G198" s="30" t="str">
        <f>IF(LEN(VLOOKUP($A198,Questions!$B:$AA,24,FALSE))=0,"",VLOOKUP($A198,Questions!$B:$AA,24,FALSE))</f>
        <v xml:space="preserve"> </v>
      </c>
      <c r="H198" s="30" t="str">
        <f>IF(LEN(VLOOKUP($A198,Questions!$B:$AA,25,FALSE))=0,"",VLOOKUP($A198,Questions!$B:$AA,25,FALSE))</f>
        <v xml:space="preserve"> </v>
      </c>
      <c r="I198" s="222" t="str">
        <f>IF(LEN(VLOOKUP($A198,Questions!$B:$AA,26,FALSE))=0,"",VLOOKUP($A198,Questions!$B:$AA,26,FALSE))</f>
        <v xml:space="preserve"> </v>
      </c>
      <c r="J198" s="222" t="str">
        <f>IF(LEN(VLOOKUP($A198,Questions!$B:$AB,27,FALSE))=0,"",VLOOKUP($A198,Questions!$B:$AB,27,FALSE))</f>
        <v xml:space="preserve"> </v>
      </c>
      <c r="K198"/>
    </row>
    <row r="199" spans="1:11" ht="36" customHeight="1">
      <c r="A199" s="10" t="s">
        <v>395</v>
      </c>
      <c r="B199" s="23" t="str">
        <f>VLOOKUP(A199,'HECVAT - Full | Vendor Response'!A$27:B$284,2,FALSE)</f>
        <v>Do you employ host-based intrusion prevention?</v>
      </c>
      <c r="C199" s="30" t="str">
        <f>IF(LEN(VLOOKUP($A199,Questions!$B:$AA,20,FALSE))=0,"",VLOOKUP($A199,Questions!$B:$AA,20,FALSE))</f>
        <v xml:space="preserve"> </v>
      </c>
      <c r="D199" s="32" t="str">
        <f>IF(LEN(VLOOKUP($A199,Questions!$B:$AA,21,FALSE))=0,"",VLOOKUP($A199,Questions!$B:$AA,21,FALSE))</f>
        <v xml:space="preserve"> </v>
      </c>
      <c r="E199" s="30" t="str">
        <f>IF(LEN(VLOOKUP($A199,Questions!$B:$AA,22,FALSE))=0,"",VLOOKUP($A199,Questions!$B:$AA,22,FALSE))</f>
        <v xml:space="preserve"> </v>
      </c>
      <c r="F199" s="30" t="str">
        <f>IF(LEN(VLOOKUP($A199,Questions!$B:$AA,23,FALSE))=0,"",VLOOKUP($A199,Questions!$B:$AA,23,FALSE))</f>
        <v xml:space="preserve"> </v>
      </c>
      <c r="G199" s="30" t="str">
        <f>IF(LEN(VLOOKUP($A199,Questions!$B:$AA,24,FALSE))=0,"",VLOOKUP($A199,Questions!$B:$AA,24,FALSE))</f>
        <v xml:space="preserve"> </v>
      </c>
      <c r="H199" s="30" t="str">
        <f>IF(LEN(VLOOKUP($A199,Questions!$B:$AA,25,FALSE))=0,"",VLOOKUP($A199,Questions!$B:$AA,25,FALSE))</f>
        <v xml:space="preserve"> </v>
      </c>
      <c r="I199" s="222" t="str">
        <f>IF(LEN(VLOOKUP($A199,Questions!$B:$AA,26,FALSE))=0,"",VLOOKUP($A199,Questions!$B:$AA,26,FALSE))</f>
        <v xml:space="preserve"> </v>
      </c>
      <c r="J199" s="222" t="str">
        <f>IF(LEN(VLOOKUP($A199,Questions!$B:$AB,27,FALSE))=0,"",VLOOKUP($A199,Questions!$B:$AB,27,FALSE))</f>
        <v xml:space="preserve"> </v>
      </c>
      <c r="K199"/>
    </row>
    <row r="200" spans="1:11" ht="36" customHeight="1">
      <c r="A200" s="10" t="s">
        <v>396</v>
      </c>
      <c r="B200" s="23" t="str">
        <f>VLOOKUP(A200,'HECVAT - Full | Vendor Response'!A$27:B$284,2,FALSE)</f>
        <v>Are you employing any next-generation persistent threat (NGPT) monitoring?</v>
      </c>
      <c r="C200" s="30" t="str">
        <f>IF(LEN(VLOOKUP($A200,Questions!$B:$AA,20,FALSE))=0,"",VLOOKUP($A200,Questions!$B:$AA,20,FALSE))</f>
        <v xml:space="preserve"> </v>
      </c>
      <c r="D200" s="32" t="str">
        <f>IF(LEN(VLOOKUP($A200,Questions!$B:$AA,21,FALSE))=0,"",VLOOKUP($A200,Questions!$B:$AA,21,FALSE))</f>
        <v xml:space="preserve"> </v>
      </c>
      <c r="E200" s="30" t="str">
        <f>IF(LEN(VLOOKUP($A200,Questions!$B:$AA,22,FALSE))=0,"",VLOOKUP($A200,Questions!$B:$AA,22,FALSE))</f>
        <v xml:space="preserve"> </v>
      </c>
      <c r="F200" s="30" t="str">
        <f>IF(LEN(VLOOKUP($A200,Questions!$B:$AA,23,FALSE))=0,"",VLOOKUP($A200,Questions!$B:$AA,23,FALSE))</f>
        <v xml:space="preserve"> </v>
      </c>
      <c r="G200" s="30" t="str">
        <f>IF(LEN(VLOOKUP($A200,Questions!$B:$AA,24,FALSE))=0,"",VLOOKUP($A200,Questions!$B:$AA,24,FALSE))</f>
        <v xml:space="preserve"> </v>
      </c>
      <c r="H200" s="30" t="str">
        <f>IF(LEN(VLOOKUP($A200,Questions!$B:$AA,25,FALSE))=0,"",VLOOKUP($A200,Questions!$B:$AA,25,FALSE))</f>
        <v xml:space="preserve"> </v>
      </c>
      <c r="I200" s="222" t="str">
        <f>IF(LEN(VLOOKUP($A200,Questions!$B:$AA,26,FALSE))=0,"",VLOOKUP($A200,Questions!$B:$AA,26,FALSE))</f>
        <v xml:space="preserve"> </v>
      </c>
      <c r="J200" s="222" t="str">
        <f>IF(LEN(VLOOKUP($A200,Questions!$B:$AB,27,FALSE))=0,"",VLOOKUP($A200,Questions!$B:$AB,27,FALSE))</f>
        <v xml:space="preserve"> </v>
      </c>
      <c r="K200"/>
    </row>
    <row r="201" spans="1:11" ht="48" customHeight="1">
      <c r="A201" s="10" t="s">
        <v>398</v>
      </c>
      <c r="B201" s="23" t="str">
        <f>VLOOKUP(A201,'HECVAT - Full | Vendor Response'!A$27:B$284,2,FALSE)</f>
        <v>Do you monitor for intrusions on a 24 x 7 x 365 basis?</v>
      </c>
      <c r="C201" s="30" t="str">
        <f>IF(LEN(VLOOKUP($A201,Questions!$B:$AA,20,FALSE))=0,"",VLOOKUP($A201,Questions!$B:$AA,20,FALSE))</f>
        <v xml:space="preserve"> </v>
      </c>
      <c r="D201" s="32" t="str">
        <f>IF(LEN(VLOOKUP($A201,Questions!$B:$AA,21,FALSE))=0,"",VLOOKUP($A201,Questions!$B:$AA,21,FALSE))</f>
        <v xml:space="preserve"> </v>
      </c>
      <c r="E201" s="30" t="str">
        <f>IF(LEN(VLOOKUP($A201,Questions!$B:$AA,22,FALSE))=0,"",VLOOKUP($A201,Questions!$B:$AA,22,FALSE))</f>
        <v xml:space="preserve"> </v>
      </c>
      <c r="F201" s="31" t="str">
        <f>IF(LEN(VLOOKUP($A201,Questions!$B:$AA,23,FALSE))=0,"",VLOOKUP($A201,Questions!$B:$AA,23,FALSE))</f>
        <v xml:space="preserve"> </v>
      </c>
      <c r="G201" s="30" t="str">
        <f>IF(LEN(VLOOKUP($A201,Questions!$B:$AA,24,FALSE))=0,"",VLOOKUP($A201,Questions!$B:$AA,24,FALSE))</f>
        <v xml:space="preserve"> </v>
      </c>
      <c r="H201" s="30" t="str">
        <f>IF(LEN(VLOOKUP($A201,Questions!$B:$AA,25,FALSE))=0,"",VLOOKUP($A201,Questions!$B:$AA,25,FALSE))</f>
        <v xml:space="preserve"> </v>
      </c>
      <c r="I201" s="222" t="str">
        <f>IF(LEN(VLOOKUP($A201,Questions!$B:$AA,26,FALSE))=0,"",VLOOKUP($A201,Questions!$B:$AA,26,FALSE))</f>
        <v xml:space="preserve"> </v>
      </c>
      <c r="J201" s="222" t="str">
        <f>IF(LEN(VLOOKUP($A201,Questions!$B:$AB,27,FALSE))=0,"",VLOOKUP($A201,Questions!$B:$AB,27,FALSE))</f>
        <v xml:space="preserve"> </v>
      </c>
      <c r="K201"/>
    </row>
    <row r="202" spans="1:11" ht="36" customHeight="1">
      <c r="A202" s="10" t="s">
        <v>400</v>
      </c>
      <c r="B202" s="23" t="str">
        <f>VLOOKUP(A202,'HECVAT - Full | Vendor Response'!A$27:B$284,2,FALSE)</f>
        <v>Is intrusion monitoring performed internally or by a third-party service?</v>
      </c>
      <c r="C202" s="30" t="str">
        <f>IF(LEN(VLOOKUP($A202,Questions!$B:$AA,20,FALSE))=0,"",VLOOKUP($A202,Questions!$B:$AA,20,FALSE))</f>
        <v xml:space="preserve"> </v>
      </c>
      <c r="D202" s="32" t="str">
        <f>IF(LEN(VLOOKUP($A202,Questions!$B:$AA,21,FALSE))=0,"",VLOOKUP($A202,Questions!$B:$AA,21,FALSE))</f>
        <v xml:space="preserve"> </v>
      </c>
      <c r="E202" s="30" t="str">
        <f>IF(LEN(VLOOKUP($A202,Questions!$B:$AA,22,FALSE))=0,"",VLOOKUP($A202,Questions!$B:$AA,22,FALSE))</f>
        <v xml:space="preserve"> </v>
      </c>
      <c r="F202" s="30" t="str">
        <f>IF(LEN(VLOOKUP($A202,Questions!$B:$AA,23,FALSE))=0,"",VLOOKUP($A202,Questions!$B:$AA,23,FALSE))</f>
        <v xml:space="preserve"> </v>
      </c>
      <c r="G202" s="30" t="str">
        <f>IF(LEN(VLOOKUP($A202,Questions!$B:$AA,24,FALSE))=0,"",VLOOKUP($A202,Questions!$B:$AA,24,FALSE))</f>
        <v xml:space="preserve"> </v>
      </c>
      <c r="H202" s="30" t="str">
        <f>IF(LEN(VLOOKUP($A202,Questions!$B:$AA,25,FALSE))=0,"",VLOOKUP($A202,Questions!$B:$AA,25,FALSE))</f>
        <v xml:space="preserve"> </v>
      </c>
      <c r="I202" s="222" t="str">
        <f>IF(LEN(VLOOKUP($A202,Questions!$B:$AA,26,FALSE))=0,"",VLOOKUP($A202,Questions!$B:$AA,26,FALSE))</f>
        <v xml:space="preserve"> </v>
      </c>
      <c r="J202" s="222" t="str">
        <f>IF(LEN(VLOOKUP($A202,Questions!$B:$AB,27,FALSE))=0,"",VLOOKUP($A202,Questions!$B:$AB,27,FALSE))</f>
        <v xml:space="preserve"> </v>
      </c>
      <c r="K202"/>
    </row>
    <row r="203" spans="1:11" ht="36" customHeight="1">
      <c r="A203" s="10" t="s">
        <v>402</v>
      </c>
      <c r="B203" s="23" t="str">
        <f>VLOOKUP(A203,'HECVAT - Full | Vendor Response'!A$27:B$284,2,FALSE)</f>
        <v>Are audit logs available for all changes to the network, firewall, IDS, and IPS systems?</v>
      </c>
      <c r="C203" s="30" t="str">
        <f>IF(LEN(VLOOKUP($A203,Questions!$B:$AA,20,FALSE))=0,"",VLOOKUP($A203,Questions!$B:$AA,20,FALSE))</f>
        <v xml:space="preserve"> </v>
      </c>
      <c r="D203" s="32" t="str">
        <f>IF(LEN(VLOOKUP($A203,Questions!$B:$AA,21,FALSE))=0,"",VLOOKUP($A203,Questions!$B:$AA,21,FALSE))</f>
        <v xml:space="preserve"> </v>
      </c>
      <c r="E203" s="30" t="str">
        <f>IF(LEN(VLOOKUP($A203,Questions!$B:$AA,22,FALSE))=0,"",VLOOKUP($A203,Questions!$B:$AA,22,FALSE))</f>
        <v xml:space="preserve"> </v>
      </c>
      <c r="F203" s="30" t="str">
        <f>IF(LEN(VLOOKUP($A203,Questions!$B:$AA,23,FALSE))=0,"",VLOOKUP($A203,Questions!$B:$AA,23,FALSE))</f>
        <v xml:space="preserve"> </v>
      </c>
      <c r="G203" s="30" t="str">
        <f>IF(LEN(VLOOKUP($A203,Questions!$B:$AA,24,FALSE))=0,"",VLOOKUP($A203,Questions!$B:$AA,24,FALSE))</f>
        <v xml:space="preserve"> </v>
      </c>
      <c r="H203" s="30" t="str">
        <f>IF(LEN(VLOOKUP($A203,Questions!$B:$AA,25,FALSE))=0,"",VLOOKUP($A203,Questions!$B:$AA,25,FALSE))</f>
        <v xml:space="preserve"> </v>
      </c>
      <c r="I203" s="222" t="str">
        <f>IF(LEN(VLOOKUP($A203,Questions!$B:$AA,26,FALSE))=0,"",VLOOKUP($A203,Questions!$B:$AA,26,FALSE))</f>
        <v xml:space="preserve"> </v>
      </c>
      <c r="J203" s="222" t="str">
        <f>IF(LEN(VLOOKUP($A203,Questions!$B:$AB,27,FALSE))=0,"",VLOOKUP($A203,Questions!$B:$AB,27,FALSE))</f>
        <v xml:space="preserve"> </v>
      </c>
      <c r="K203" s="238" t="s">
        <v>3325</v>
      </c>
    </row>
    <row r="204" spans="1:11" ht="36" customHeight="1">
      <c r="A204" s="283" t="str">
        <f>IF($C$31="","Policies, Procedures, and Processes",IF($C$31="Yes","Pol/Pro/Proc - Optional based on QUALIFIER response.","Policies, Procedures, and Processes"))</f>
        <v>Policies, Procedures, and Processes</v>
      </c>
      <c r="B204" s="283"/>
      <c r="C204" s="18" t="str">
        <f>C$23</f>
        <v>CIS Critical Security Controls v6.1</v>
      </c>
      <c r="D204" s="18" t="str">
        <f t="shared" ref="D204:J204" si="13">D$23</f>
        <v>HIPAA</v>
      </c>
      <c r="E204" s="18" t="str">
        <f t="shared" si="13"/>
        <v>ISO 27002:27013</v>
      </c>
      <c r="F204" s="18" t="str">
        <f t="shared" si="13"/>
        <v>NIST Cybersecurity Framework</v>
      </c>
      <c r="G204" s="18" t="str">
        <f t="shared" si="13"/>
        <v>NIST SP 800-171r2</v>
      </c>
      <c r="H204" s="18" t="str">
        <f t="shared" si="13"/>
        <v>NIST SP 800-53r4</v>
      </c>
      <c r="I204" s="18" t="str">
        <f t="shared" si="13"/>
        <v>PCI DSS</v>
      </c>
      <c r="J204" s="18" t="str">
        <f t="shared" si="13"/>
        <v>Trusted CI</v>
      </c>
      <c r="K204"/>
    </row>
    <row r="205" spans="1:11" ht="72" customHeight="1">
      <c r="A205" s="10" t="s">
        <v>405</v>
      </c>
      <c r="B205" s="23" t="str">
        <f>VLOOKUP(A205,'HECVAT - Full | Vendor Response'!A$27:B$284,2,FALSE)</f>
        <v>Can you share the organization chart, mission statement, and policies for your information security unit?</v>
      </c>
      <c r="C205" s="31" t="str">
        <f>IF(LEN(VLOOKUP($A205,Questions!$B:$AA,20,FALSE))=0,"",VLOOKUP($A205,Questions!$B:$AA,20,FALSE))</f>
        <v xml:space="preserve"> </v>
      </c>
      <c r="D205" s="31" t="str">
        <f>IF(LEN(VLOOKUP($A205,Questions!$B:$AA,21,FALSE))=0,"",VLOOKUP($A205,Questions!$B:$AA,21,FALSE))</f>
        <v xml:space="preserve"> </v>
      </c>
      <c r="E205" s="30" t="str">
        <f>IF(LEN(VLOOKUP($A205,Questions!$B:$AA,22,FALSE))=0,"",VLOOKUP($A205,Questions!$B:$AA,22,FALSE))</f>
        <v xml:space="preserve"> </v>
      </c>
      <c r="F205" s="30" t="str">
        <f>IF(LEN(VLOOKUP($A205,Questions!$B:$AA,23,FALSE))=0,"",VLOOKUP($A205,Questions!$B:$AA,23,FALSE))</f>
        <v xml:space="preserve"> </v>
      </c>
      <c r="G205" s="30" t="str">
        <f>IF(LEN(VLOOKUP($A205,Questions!$B:$AA,24,FALSE))=0,"",VLOOKUP($A205,Questions!$B:$AA,24,FALSE))</f>
        <v xml:space="preserve"> </v>
      </c>
      <c r="H205" s="30" t="str">
        <f>IF(LEN(VLOOKUP($A205,Questions!$B:$AA,25,FALSE))=0,"",VLOOKUP($A205,Questions!$B:$AA,25,FALSE))</f>
        <v xml:space="preserve"> </v>
      </c>
      <c r="I205" s="30" t="str">
        <f>IF(LEN(VLOOKUP($A205,Questions!$B:$AA,26,FALSE))=0,"",VLOOKUP($A205,Questions!$B:$AA,26,FALSE))</f>
        <v xml:space="preserve"> </v>
      </c>
      <c r="J205" s="30" t="str">
        <f>IF(LEN(VLOOKUP($A205,Questions!$B:$AB,27,FALSE))=0,"",VLOOKUP($A205,Questions!$B:$AB,27,FALSE))</f>
        <v xml:space="preserve"> </v>
      </c>
      <c r="K205"/>
    </row>
    <row r="206" spans="1:11" ht="36" customHeight="1">
      <c r="A206" s="10" t="s">
        <v>407</v>
      </c>
      <c r="B206" s="23" t="str">
        <f>VLOOKUP(A206,'HECVAT - Full | Vendor Response'!A$27:B$284,2,FALSE)</f>
        <v>Do you have a documented patch management process?</v>
      </c>
      <c r="C206" s="30" t="str">
        <f>IF(LEN(VLOOKUP($A206,Questions!$B:$AA,20,FALSE))=0,"",VLOOKUP($A206,Questions!$B:$AA,20,FALSE))</f>
        <v xml:space="preserve"> </v>
      </c>
      <c r="D206" s="31" t="str">
        <f>IF(LEN(VLOOKUP($A206,Questions!$B:$AA,21,FALSE))=0,"",VLOOKUP($A206,Questions!$B:$AA,21,FALSE))</f>
        <v xml:space="preserve"> </v>
      </c>
      <c r="E206" s="30" t="str">
        <f>IF(LEN(VLOOKUP($A206,Questions!$B:$AA,22,FALSE))=0,"",VLOOKUP($A206,Questions!$B:$AA,22,FALSE))</f>
        <v xml:space="preserve"> </v>
      </c>
      <c r="F206" s="30" t="str">
        <f>IF(LEN(VLOOKUP($A206,Questions!$B:$AA,23,FALSE))=0,"",VLOOKUP($A206,Questions!$B:$AA,23,FALSE))</f>
        <v xml:space="preserve"> </v>
      </c>
      <c r="G206" s="31" t="str">
        <f>IF(LEN(VLOOKUP($A206,Questions!$B:$AA,24,FALSE))=0,"",VLOOKUP($A206,Questions!$B:$AA,24,FALSE))</f>
        <v xml:space="preserve"> </v>
      </c>
      <c r="H206" s="30" t="str">
        <f>IF(LEN(VLOOKUP($A206,Questions!$B:$AA,25,FALSE))=0,"",VLOOKUP($A206,Questions!$B:$AA,25,FALSE))</f>
        <v xml:space="preserve"> </v>
      </c>
      <c r="I206" s="30" t="str">
        <f>IF(LEN(VLOOKUP($A206,Questions!$B:$AA,26,FALSE))=0,"",VLOOKUP($A206,Questions!$B:$AA,26,FALSE))</f>
        <v xml:space="preserve"> </v>
      </c>
      <c r="J206" s="30" t="str">
        <f>IF(LEN(VLOOKUP($A206,Questions!$B:$AB,27,FALSE))=0,"",VLOOKUP($A206,Questions!$B:$AB,27,FALSE))</f>
        <v xml:space="preserve"> </v>
      </c>
      <c r="K206"/>
    </row>
    <row r="207" spans="1:11" ht="36" customHeight="1">
      <c r="A207" s="10" t="s">
        <v>409</v>
      </c>
      <c r="B207" s="23" t="str">
        <f>VLOOKUP(A207,'HECVAT - Full | Vendor Response'!A$27:B$284,2,FALSE)</f>
        <v>Can you accommodate encryption requirements using open standards?</v>
      </c>
      <c r="C207" s="30" t="str">
        <f>IF(LEN(VLOOKUP($A207,Questions!$B:$AA,20,FALSE))=0,"",VLOOKUP($A207,Questions!$B:$AA,20,FALSE))</f>
        <v xml:space="preserve"> </v>
      </c>
      <c r="D207" s="31" t="str">
        <f>IF(LEN(VLOOKUP($A207,Questions!$B:$AA,21,FALSE))=0,"",VLOOKUP($A207,Questions!$B:$AA,21,FALSE))</f>
        <v xml:space="preserve"> </v>
      </c>
      <c r="E207" s="30" t="str">
        <f>IF(LEN(VLOOKUP($A207,Questions!$B:$AA,22,FALSE))=0,"",VLOOKUP($A207,Questions!$B:$AA,22,FALSE))</f>
        <v xml:space="preserve"> </v>
      </c>
      <c r="F207" s="31" t="str">
        <f>IF(LEN(VLOOKUP($A207,Questions!$B:$AA,23,FALSE))=0,"",VLOOKUP($A207,Questions!$B:$AA,23,FALSE))</f>
        <v xml:space="preserve"> </v>
      </c>
      <c r="G207" s="31" t="str">
        <f>IF(LEN(VLOOKUP($A207,Questions!$B:$AA,24,FALSE))=0,"",VLOOKUP($A207,Questions!$B:$AA,24,FALSE))</f>
        <v xml:space="preserve"> </v>
      </c>
      <c r="H207" s="30" t="str">
        <f>IF(LEN(VLOOKUP($A207,Questions!$B:$AA,25,FALSE))=0,"",VLOOKUP($A207,Questions!$B:$AA,25,FALSE))</f>
        <v xml:space="preserve"> </v>
      </c>
      <c r="I207" s="30" t="str">
        <f>IF(LEN(VLOOKUP($A207,Questions!$B:$AA,26,FALSE))=0,"",VLOOKUP($A207,Questions!$B:$AA,26,FALSE))</f>
        <v xml:space="preserve"> </v>
      </c>
      <c r="J207" s="30" t="str">
        <f>IF(LEN(VLOOKUP($A207,Questions!$B:$AB,27,FALSE))=0,"",VLOOKUP($A207,Questions!$B:$AB,27,FALSE))</f>
        <v xml:space="preserve"> </v>
      </c>
      <c r="K207"/>
    </row>
    <row r="208" spans="1:11" ht="48" customHeight="1">
      <c r="A208" s="10" t="s">
        <v>410</v>
      </c>
      <c r="B208" s="23" t="str">
        <f>VLOOKUP(A208,'HECVAT - Full | Vendor Response'!A$27:B$284,2,FALSE)</f>
        <v>Are information security principles designed into the product lifecycle?</v>
      </c>
      <c r="C208" s="30" t="str">
        <f>IF(LEN(VLOOKUP($A208,Questions!$B:$AA,20,FALSE))=0,"",VLOOKUP($A208,Questions!$B:$AA,20,FALSE))</f>
        <v xml:space="preserve"> </v>
      </c>
      <c r="D208" s="31" t="str">
        <f>IF(LEN(VLOOKUP($A208,Questions!$B:$AA,21,FALSE))=0,"",VLOOKUP($A208,Questions!$B:$AA,21,FALSE))</f>
        <v xml:space="preserve"> </v>
      </c>
      <c r="E208" s="30" t="str">
        <f>IF(LEN(VLOOKUP($A208,Questions!$B:$AA,22,FALSE))=0,"",VLOOKUP($A208,Questions!$B:$AA,22,FALSE))</f>
        <v xml:space="preserve"> </v>
      </c>
      <c r="F208" s="31" t="str">
        <f>IF(LEN(VLOOKUP($A208,Questions!$B:$AA,23,FALSE))=0,"",VLOOKUP($A208,Questions!$B:$AA,23,FALSE))</f>
        <v xml:space="preserve"> </v>
      </c>
      <c r="G208" s="31" t="str">
        <f>IF(LEN(VLOOKUP($A208,Questions!$B:$AA,24,FALSE))=0,"",VLOOKUP($A208,Questions!$B:$AA,24,FALSE))</f>
        <v xml:space="preserve"> </v>
      </c>
      <c r="H208" s="30" t="str">
        <f>IF(LEN(VLOOKUP($A208,Questions!$B:$AA,25,FALSE))=0,"",VLOOKUP($A208,Questions!$B:$AA,25,FALSE))</f>
        <v xml:space="preserve"> </v>
      </c>
      <c r="I208" s="30" t="str">
        <f>IF(LEN(VLOOKUP($A208,Questions!$B:$AA,26,FALSE))=0,"",VLOOKUP($A208,Questions!$B:$AA,26,FALSE))</f>
        <v xml:space="preserve"> </v>
      </c>
      <c r="J208" s="30" t="str">
        <f>IF(LEN(VLOOKUP($A208,Questions!$B:$AB,27,FALSE))=0,"",VLOOKUP($A208,Questions!$B:$AB,27,FALSE))</f>
        <v xml:space="preserve"> </v>
      </c>
      <c r="K208"/>
    </row>
    <row r="209" spans="1:11" ht="48" customHeight="1">
      <c r="A209" s="10" t="s">
        <v>412</v>
      </c>
      <c r="B209" s="23" t="str">
        <f>VLOOKUP(A209,'HECVAT - Full | Vendor Response'!A$27:B$284,2,FALSE)</f>
        <v>Do you have a documented systems development life cycle (SDLC)?</v>
      </c>
      <c r="C209" s="30" t="str">
        <f>IF(LEN(VLOOKUP($A209,Questions!$B:$AA,20,FALSE))=0,"",VLOOKUP($A209,Questions!$B:$AA,20,FALSE))</f>
        <v xml:space="preserve"> </v>
      </c>
      <c r="D209" s="31" t="str">
        <f>IF(LEN(VLOOKUP($A209,Questions!$B:$AA,21,FALSE))=0,"",VLOOKUP($A209,Questions!$B:$AA,21,FALSE))</f>
        <v xml:space="preserve"> </v>
      </c>
      <c r="E209" s="30" t="str">
        <f>IF(LEN(VLOOKUP($A209,Questions!$B:$AA,22,FALSE))=0,"",VLOOKUP($A209,Questions!$B:$AA,22,FALSE))</f>
        <v xml:space="preserve"> </v>
      </c>
      <c r="F209" s="31" t="str">
        <f>IF(LEN(VLOOKUP($A209,Questions!$B:$AA,23,FALSE))=0,"",VLOOKUP($A209,Questions!$B:$AA,23,FALSE))</f>
        <v xml:space="preserve"> </v>
      </c>
      <c r="G209" s="31" t="str">
        <f>IF(LEN(VLOOKUP($A209,Questions!$B:$AA,24,FALSE))=0,"",VLOOKUP($A209,Questions!$B:$AA,24,FALSE))</f>
        <v xml:space="preserve"> </v>
      </c>
      <c r="H209" s="30" t="str">
        <f>IF(LEN(VLOOKUP($A209,Questions!$B:$AA,25,FALSE))=0,"",VLOOKUP($A209,Questions!$B:$AA,25,FALSE))</f>
        <v xml:space="preserve"> </v>
      </c>
      <c r="I209" s="30" t="str">
        <f>IF(LEN(VLOOKUP($A209,Questions!$B:$AA,26,FALSE))=0,"",VLOOKUP($A209,Questions!$B:$AA,26,FALSE))</f>
        <v xml:space="preserve"> </v>
      </c>
      <c r="J209" s="30" t="str">
        <f>IF(LEN(VLOOKUP($A209,Questions!$B:$AB,27,FALSE))=0,"",VLOOKUP($A209,Questions!$B:$AB,27,FALSE))</f>
        <v xml:space="preserve"> </v>
      </c>
      <c r="K209"/>
    </row>
    <row r="210" spans="1:11" ht="48" customHeight="1">
      <c r="A210" s="10" t="s">
        <v>413</v>
      </c>
      <c r="B210" s="23" t="str">
        <f>VLOOKUP(A210,'HECVAT - Full | Vendor Response'!A$27:B$284,2,FALSE)</f>
        <v>Will you comply with applicable breach notification laws?</v>
      </c>
      <c r="C210" s="30" t="str">
        <f>IF(LEN(VLOOKUP($A210,Questions!$B:$AA,20,FALSE))=0,"",VLOOKUP($A210,Questions!$B:$AA,20,FALSE))</f>
        <v xml:space="preserve"> </v>
      </c>
      <c r="D210" s="31" t="str">
        <f>IF(LEN(VLOOKUP($A210,Questions!$B:$AA,21,FALSE))=0,"",VLOOKUP($A210,Questions!$B:$AA,21,FALSE))</f>
        <v xml:space="preserve"> </v>
      </c>
      <c r="E210" s="30" t="str">
        <f>IF(LEN(VLOOKUP($A210,Questions!$B:$AA,22,FALSE))=0,"",VLOOKUP($A210,Questions!$B:$AA,22,FALSE))</f>
        <v xml:space="preserve"> </v>
      </c>
      <c r="F210" s="30" t="str">
        <f>IF(LEN(VLOOKUP($A210,Questions!$B:$AA,23,FALSE))=0,"",VLOOKUP($A210,Questions!$B:$AA,23,FALSE))</f>
        <v xml:space="preserve"> </v>
      </c>
      <c r="G210" s="31" t="str">
        <f>IF(LEN(VLOOKUP($A210,Questions!$B:$AA,24,FALSE))=0,"",VLOOKUP($A210,Questions!$B:$AA,24,FALSE))</f>
        <v xml:space="preserve"> </v>
      </c>
      <c r="H210" s="30" t="str">
        <f>IF(LEN(VLOOKUP($A210,Questions!$B:$AA,25,FALSE))=0,"",VLOOKUP($A210,Questions!$B:$AA,25,FALSE))</f>
        <v xml:space="preserve"> </v>
      </c>
      <c r="I210" s="30" t="str">
        <f>IF(LEN(VLOOKUP($A210,Questions!$B:$AA,26,FALSE))=0,"",VLOOKUP($A210,Questions!$B:$AA,26,FALSE))</f>
        <v xml:space="preserve"> </v>
      </c>
      <c r="J210" s="30" t="str">
        <f>IF(LEN(VLOOKUP($A210,Questions!$B:$AB,27,FALSE))=0,"",VLOOKUP($A210,Questions!$B:$AB,27,FALSE))</f>
        <v xml:space="preserve"> </v>
      </c>
      <c r="K210"/>
    </row>
    <row r="211" spans="1:11" ht="84" customHeight="1">
      <c r="A211" s="10" t="s">
        <v>415</v>
      </c>
      <c r="B211" s="23" t="str">
        <f>VLOOKUP(A211,'HECVAT - Full | Vendor Response'!A$27:B$284,2,FALSE)</f>
        <v>Will you comply with the institution's IT policies with regards to user privacy and data protection?</v>
      </c>
      <c r="C211" s="30" t="str">
        <f>IF(LEN(VLOOKUP($A211,Questions!$B:$AA,20,FALSE))=0,"",VLOOKUP($A211,Questions!$B:$AA,20,FALSE))</f>
        <v xml:space="preserve"> </v>
      </c>
      <c r="D211" s="31" t="str">
        <f>IF(LEN(VLOOKUP($A211,Questions!$B:$AA,21,FALSE))=0,"",VLOOKUP($A211,Questions!$B:$AA,21,FALSE))</f>
        <v xml:space="preserve"> </v>
      </c>
      <c r="E211" s="30" t="str">
        <f>IF(LEN(VLOOKUP($A211,Questions!$B:$AA,22,FALSE))=0,"",VLOOKUP($A211,Questions!$B:$AA,22,FALSE))</f>
        <v xml:space="preserve"> </v>
      </c>
      <c r="F211" s="30" t="str">
        <f>IF(LEN(VLOOKUP($A211,Questions!$B:$AA,23,FALSE))=0,"",VLOOKUP($A211,Questions!$B:$AA,23,FALSE))</f>
        <v xml:space="preserve"> </v>
      </c>
      <c r="G211" s="30" t="str">
        <f>IF(LEN(VLOOKUP($A211,Questions!$B:$AA,24,FALSE))=0,"",VLOOKUP($A211,Questions!$B:$AA,24,FALSE))</f>
        <v xml:space="preserve"> </v>
      </c>
      <c r="H211" s="30" t="str">
        <f>IF(LEN(VLOOKUP($A211,Questions!$B:$AA,25,FALSE))=0,"",VLOOKUP($A211,Questions!$B:$AA,25,FALSE))</f>
        <v xml:space="preserve"> </v>
      </c>
      <c r="I211" s="30" t="str">
        <f>IF(LEN(VLOOKUP($A211,Questions!$B:$AA,26,FALSE))=0,"",VLOOKUP($A211,Questions!$B:$AA,26,FALSE))</f>
        <v xml:space="preserve"> </v>
      </c>
      <c r="J211" s="30" t="str">
        <f>IF(LEN(VLOOKUP($A211,Questions!$B:$AB,27,FALSE))=0,"",VLOOKUP($A211,Questions!$B:$AB,27,FALSE))</f>
        <v xml:space="preserve"> </v>
      </c>
      <c r="K211"/>
    </row>
    <row r="212" spans="1:11" ht="48" customHeight="1">
      <c r="A212" s="10" t="s">
        <v>417</v>
      </c>
      <c r="B212" s="23" t="str">
        <f>VLOOKUP(A212,'HECVAT - Full | Vendor Response'!A$27:B$284,2,FALSE)</f>
        <v>Is your company subject to institution's geographic region's laws and regulations?</v>
      </c>
      <c r="C212" s="30" t="str">
        <f>IF(LEN(VLOOKUP($A212,Questions!$B:$AA,20,FALSE))=0,"",VLOOKUP($A212,Questions!$B:$AA,20,FALSE))</f>
        <v xml:space="preserve"> </v>
      </c>
      <c r="D212" s="31" t="str">
        <f>IF(LEN(VLOOKUP($A212,Questions!$B:$AA,21,FALSE))=0,"",VLOOKUP($A212,Questions!$B:$AA,21,FALSE))</f>
        <v xml:space="preserve"> </v>
      </c>
      <c r="E212" s="30" t="str">
        <f>IF(LEN(VLOOKUP($A212,Questions!$B:$AA,22,FALSE))=0,"",VLOOKUP($A212,Questions!$B:$AA,22,FALSE))</f>
        <v xml:space="preserve"> </v>
      </c>
      <c r="F212" s="31" t="str">
        <f>IF(LEN(VLOOKUP($A212,Questions!$B:$AA,23,FALSE))=0,"",VLOOKUP($A212,Questions!$B:$AA,23,FALSE))</f>
        <v xml:space="preserve"> </v>
      </c>
      <c r="G212" s="30" t="str">
        <f>IF(LEN(VLOOKUP($A212,Questions!$B:$AA,24,FALSE))=0,"",VLOOKUP($A212,Questions!$B:$AA,24,FALSE))</f>
        <v xml:space="preserve"> </v>
      </c>
      <c r="H212" s="30" t="str">
        <f>IF(LEN(VLOOKUP($A212,Questions!$B:$AA,25,FALSE))=0,"",VLOOKUP($A212,Questions!$B:$AA,25,FALSE))</f>
        <v xml:space="preserve"> </v>
      </c>
      <c r="I212" s="30" t="str">
        <f>IF(LEN(VLOOKUP($A212,Questions!$B:$AA,26,FALSE))=0,"",VLOOKUP($A212,Questions!$B:$AA,26,FALSE))</f>
        <v xml:space="preserve"> </v>
      </c>
      <c r="J212" s="30" t="str">
        <f>IF(LEN(VLOOKUP($A212,Questions!$B:$AB,27,FALSE))=0,"",VLOOKUP($A212,Questions!$B:$AB,27,FALSE))</f>
        <v xml:space="preserve"> </v>
      </c>
      <c r="K212"/>
    </row>
    <row r="213" spans="1:11" ht="36" customHeight="1">
      <c r="A213" s="10" t="s">
        <v>419</v>
      </c>
      <c r="B213" s="23" t="str">
        <f>VLOOKUP(A213,'HECVAT - Full | Vendor Response'!A$27:B$284,2,FALSE)</f>
        <v>Do you perform background screenings or multi-state background checks on all employees prior to their first day of work?</v>
      </c>
      <c r="C213" s="30" t="str">
        <f>IF(LEN(VLOOKUP($A213,Questions!$B:$AA,20,FALSE))=0,"",VLOOKUP($A213,Questions!$B:$AA,20,FALSE))</f>
        <v xml:space="preserve"> </v>
      </c>
      <c r="D213" s="31" t="str">
        <f>IF(LEN(VLOOKUP($A213,Questions!$B:$AA,21,FALSE))=0,"",VLOOKUP($A213,Questions!$B:$AA,21,FALSE))</f>
        <v xml:space="preserve"> </v>
      </c>
      <c r="E213" s="30" t="str">
        <f>IF(LEN(VLOOKUP($A213,Questions!$B:$AA,22,FALSE))=0,"",VLOOKUP($A213,Questions!$B:$AA,22,FALSE))</f>
        <v xml:space="preserve"> </v>
      </c>
      <c r="F213" s="30" t="str">
        <f>IF(LEN(VLOOKUP($A213,Questions!$B:$AA,23,FALSE))=0,"",VLOOKUP($A213,Questions!$B:$AA,23,FALSE))</f>
        <v xml:space="preserve"> </v>
      </c>
      <c r="G213" s="31" t="str">
        <f>IF(LEN(VLOOKUP($A213,Questions!$B:$AA,24,FALSE))=0,"",VLOOKUP($A213,Questions!$B:$AA,24,FALSE))</f>
        <v xml:space="preserve"> </v>
      </c>
      <c r="H213" s="30" t="str">
        <f>IF(LEN(VLOOKUP($A213,Questions!$B:$AA,25,FALSE))=0,"",VLOOKUP($A213,Questions!$B:$AA,25,FALSE))</f>
        <v xml:space="preserve"> </v>
      </c>
      <c r="I213" s="30" t="str">
        <f>IF(LEN(VLOOKUP($A213,Questions!$B:$AA,26,FALSE))=0,"",VLOOKUP($A213,Questions!$B:$AA,26,FALSE))</f>
        <v xml:space="preserve"> </v>
      </c>
      <c r="J213" s="30" t="str">
        <f>IF(LEN(VLOOKUP($A213,Questions!$B:$AB,27,FALSE))=0,"",VLOOKUP($A213,Questions!$B:$AB,27,FALSE))</f>
        <v xml:space="preserve"> </v>
      </c>
      <c r="K213"/>
    </row>
    <row r="214" spans="1:11" ht="36" customHeight="1">
      <c r="A214" s="10" t="s">
        <v>421</v>
      </c>
      <c r="B214" s="23" t="str">
        <f>VLOOKUP(A214,'HECVAT - Full | Vendor Response'!A$27:B$284,2,FALSE)</f>
        <v>Do you require new employees to fill out agreements and review policies?</v>
      </c>
      <c r="C214" s="30" t="str">
        <f>IF(LEN(VLOOKUP($A214,Questions!$B:$AA,20,FALSE))=0,"",VLOOKUP($A214,Questions!$B:$AA,20,FALSE))</f>
        <v xml:space="preserve"> </v>
      </c>
      <c r="D214" s="31" t="str">
        <f>IF(LEN(VLOOKUP($A214,Questions!$B:$AA,21,FALSE))=0,"",VLOOKUP($A214,Questions!$B:$AA,21,FALSE))</f>
        <v xml:space="preserve"> </v>
      </c>
      <c r="E214" s="30" t="str">
        <f>IF(LEN(VLOOKUP($A214,Questions!$B:$AA,22,FALSE))=0,"",VLOOKUP($A214,Questions!$B:$AA,22,FALSE))</f>
        <v xml:space="preserve"> </v>
      </c>
      <c r="F214" s="30" t="str">
        <f>IF(LEN(VLOOKUP($A214,Questions!$B:$AA,23,FALSE))=0,"",VLOOKUP($A214,Questions!$B:$AA,23,FALSE))</f>
        <v xml:space="preserve"> </v>
      </c>
      <c r="G214" s="30" t="str">
        <f>IF(LEN(VLOOKUP($A214,Questions!$B:$AA,24,FALSE))=0,"",VLOOKUP($A214,Questions!$B:$AA,24,FALSE))</f>
        <v xml:space="preserve"> </v>
      </c>
      <c r="H214" s="30" t="str">
        <f>IF(LEN(VLOOKUP($A214,Questions!$B:$AA,25,FALSE))=0,"",VLOOKUP($A214,Questions!$B:$AA,25,FALSE))</f>
        <v xml:space="preserve"> </v>
      </c>
      <c r="I214" s="30" t="str">
        <f>IF(LEN(VLOOKUP($A214,Questions!$B:$AA,26,FALSE))=0,"",VLOOKUP($A214,Questions!$B:$AA,26,FALSE))</f>
        <v xml:space="preserve"> </v>
      </c>
      <c r="J214" s="30" t="str">
        <f>IF(LEN(VLOOKUP($A214,Questions!$B:$AB,27,FALSE))=0,"",VLOOKUP($A214,Questions!$B:$AB,27,FALSE))</f>
        <v xml:space="preserve"> </v>
      </c>
      <c r="K214"/>
    </row>
    <row r="215" spans="1:11" ht="36" customHeight="1">
      <c r="A215" s="10" t="s">
        <v>423</v>
      </c>
      <c r="B215" s="23" t="str">
        <f>VLOOKUP(A215,'HECVAT - Full | Vendor Response'!A$27:B$284,2,FALSE)</f>
        <v>Do you have a documented information security policy?</v>
      </c>
      <c r="C215" s="30" t="str">
        <f>IF(LEN(VLOOKUP($A215,Questions!$B:$AA,20,FALSE))=0,"",VLOOKUP($A215,Questions!$B:$AA,20,FALSE))</f>
        <v xml:space="preserve"> </v>
      </c>
      <c r="D215" s="31" t="str">
        <f>IF(LEN(VLOOKUP($A215,Questions!$B:$AA,21,FALSE))=0,"",VLOOKUP($A215,Questions!$B:$AA,21,FALSE))</f>
        <v xml:space="preserve"> </v>
      </c>
      <c r="E215" s="30" t="str">
        <f>IF(LEN(VLOOKUP($A215,Questions!$B:$AA,22,FALSE))=0,"",VLOOKUP($A215,Questions!$B:$AA,22,FALSE))</f>
        <v xml:space="preserve"> </v>
      </c>
      <c r="F215" s="30" t="str">
        <f>IF(LEN(VLOOKUP($A215,Questions!$B:$AA,23,FALSE))=0,"",VLOOKUP($A215,Questions!$B:$AA,23,FALSE))</f>
        <v xml:space="preserve"> </v>
      </c>
      <c r="G215" s="30" t="str">
        <f>IF(LEN(VLOOKUP($A215,Questions!$B:$AA,24,FALSE))=0,"",VLOOKUP($A215,Questions!$B:$AA,24,FALSE))</f>
        <v xml:space="preserve"> </v>
      </c>
      <c r="H215" s="30" t="str">
        <f>IF(LEN(VLOOKUP($A215,Questions!$B:$AA,25,FALSE))=0,"",VLOOKUP($A215,Questions!$B:$AA,25,FALSE))</f>
        <v xml:space="preserve"> </v>
      </c>
      <c r="I215" s="30" t="str">
        <f>IF(LEN(VLOOKUP($A215,Questions!$B:$AA,26,FALSE))=0,"",VLOOKUP($A215,Questions!$B:$AA,26,FALSE))</f>
        <v xml:space="preserve"> </v>
      </c>
      <c r="J215" s="30" t="str">
        <f>IF(LEN(VLOOKUP($A215,Questions!$B:$AB,27,FALSE))=0,"",VLOOKUP($A215,Questions!$B:$AB,27,FALSE))</f>
        <v xml:space="preserve"> </v>
      </c>
      <c r="K215"/>
    </row>
    <row r="216" spans="1:11" ht="48" customHeight="1">
      <c r="A216" s="10" t="s">
        <v>425</v>
      </c>
      <c r="B216" s="23" t="str">
        <f>VLOOKUP(A216,'HECVAT - Full | Vendor Response'!A$27:B$284,2,FALSE)</f>
        <v>Do you have an information security awareness program?</v>
      </c>
      <c r="C216" s="30" t="str">
        <f>IF(LEN(VLOOKUP($A216,Questions!$B:$AA,20,FALSE))=0,"",VLOOKUP($A216,Questions!$B:$AA,20,FALSE))</f>
        <v xml:space="preserve"> </v>
      </c>
      <c r="D216" s="31" t="str">
        <f>IF(LEN(VLOOKUP($A216,Questions!$B:$AA,21,FALSE))=0,"",VLOOKUP($A216,Questions!$B:$AA,21,FALSE))</f>
        <v xml:space="preserve"> </v>
      </c>
      <c r="E216" s="30" t="str">
        <f>IF(LEN(VLOOKUP($A216,Questions!$B:$AA,22,FALSE))=0,"",VLOOKUP($A216,Questions!$B:$AA,22,FALSE))</f>
        <v xml:space="preserve"> </v>
      </c>
      <c r="F216" s="31" t="str">
        <f>IF(LEN(VLOOKUP($A216,Questions!$B:$AA,23,FALSE))=0,"",VLOOKUP($A216,Questions!$B:$AA,23,FALSE))</f>
        <v xml:space="preserve"> </v>
      </c>
      <c r="G216" s="30" t="str">
        <f>IF(LEN(VLOOKUP($A216,Questions!$B:$AA,24,FALSE))=0,"",VLOOKUP($A216,Questions!$B:$AA,24,FALSE))</f>
        <v xml:space="preserve"> </v>
      </c>
      <c r="H216" s="30" t="str">
        <f>IF(LEN(VLOOKUP($A216,Questions!$B:$AA,25,FALSE))=0,"",VLOOKUP($A216,Questions!$B:$AA,25,FALSE))</f>
        <v xml:space="preserve"> </v>
      </c>
      <c r="I216" s="30" t="str">
        <f>IF(LEN(VLOOKUP($A216,Questions!$B:$AA,26,FALSE))=0,"",VLOOKUP($A216,Questions!$B:$AA,26,FALSE))</f>
        <v xml:space="preserve"> </v>
      </c>
      <c r="J216" s="30" t="str">
        <f>IF(LEN(VLOOKUP($A216,Questions!$B:$AB,27,FALSE))=0,"",VLOOKUP($A216,Questions!$B:$AB,27,FALSE))</f>
        <v xml:space="preserve"> </v>
      </c>
      <c r="K216"/>
    </row>
    <row r="217" spans="1:11" ht="36" customHeight="1">
      <c r="A217" s="10" t="s">
        <v>427</v>
      </c>
      <c r="B217" s="23" t="str">
        <f>VLOOKUP(A217,'HECVAT - Full | Vendor Response'!A$27:B$284,2,FALSE)</f>
        <v>Is security awareness training mandatory for all employees?</v>
      </c>
      <c r="C217" s="30" t="str">
        <f>IF(LEN(VLOOKUP($A217,Questions!$B:$AA,20,FALSE))=0,"",VLOOKUP($A217,Questions!$B:$AA,20,FALSE))</f>
        <v xml:space="preserve"> </v>
      </c>
      <c r="D217" s="31" t="str">
        <f>IF(LEN(VLOOKUP($A217,Questions!$B:$AA,21,FALSE))=0,"",VLOOKUP($A217,Questions!$B:$AA,21,FALSE))</f>
        <v xml:space="preserve"> </v>
      </c>
      <c r="E217" s="30" t="str">
        <f>IF(LEN(VLOOKUP($A217,Questions!$B:$AA,22,FALSE))=0,"",VLOOKUP($A217,Questions!$B:$AA,22,FALSE))</f>
        <v xml:space="preserve"> </v>
      </c>
      <c r="F217" s="30" t="str">
        <f>IF(LEN(VLOOKUP($A217,Questions!$B:$AA,23,FALSE))=0,"",VLOOKUP($A217,Questions!$B:$AA,23,FALSE))</f>
        <v xml:space="preserve"> </v>
      </c>
      <c r="G217" s="31" t="str">
        <f>IF(LEN(VLOOKUP($A217,Questions!$B:$AA,24,FALSE))=0,"",VLOOKUP($A217,Questions!$B:$AA,24,FALSE))</f>
        <v xml:space="preserve"> </v>
      </c>
      <c r="H217" s="30" t="str">
        <f>IF(LEN(VLOOKUP($A217,Questions!$B:$AA,25,FALSE))=0,"",VLOOKUP($A217,Questions!$B:$AA,25,FALSE))</f>
        <v xml:space="preserve"> </v>
      </c>
      <c r="I217" s="30" t="str">
        <f>IF(LEN(VLOOKUP($A217,Questions!$B:$AA,26,FALSE))=0,"",VLOOKUP($A217,Questions!$B:$AA,26,FALSE))</f>
        <v xml:space="preserve"> </v>
      </c>
      <c r="J217" s="30" t="str">
        <f>IF(LEN(VLOOKUP($A217,Questions!$B:$AB,27,FALSE))=0,"",VLOOKUP($A217,Questions!$B:$AB,27,FALSE))</f>
        <v xml:space="preserve"> </v>
      </c>
      <c r="K217"/>
    </row>
    <row r="218" spans="1:11" ht="48" customHeight="1">
      <c r="A218" s="10" t="s">
        <v>429</v>
      </c>
      <c r="B218" s="23" t="str">
        <f>VLOOKUP(A218,'HECVAT - Full | Vendor Response'!A$27:B$284,2,FALSE)</f>
        <v>Do you have process and procedure(s) documented, and currently followed, that require a review and update of the access list(s) for privileged accounts?</v>
      </c>
      <c r="C218" s="30" t="str">
        <f>IF(LEN(VLOOKUP($A218,Questions!$B:$AA,20,FALSE))=0,"",VLOOKUP($A218,Questions!$B:$AA,20,FALSE))</f>
        <v xml:space="preserve"> </v>
      </c>
      <c r="D218" s="31" t="str">
        <f>IF(LEN(VLOOKUP($A218,Questions!$B:$AA,21,FALSE))=0,"",VLOOKUP($A218,Questions!$B:$AA,21,FALSE))</f>
        <v xml:space="preserve"> </v>
      </c>
      <c r="E218" s="30" t="str">
        <f>IF(LEN(VLOOKUP($A218,Questions!$B:$AA,22,FALSE))=0,"",VLOOKUP($A218,Questions!$B:$AA,22,FALSE))</f>
        <v xml:space="preserve"> </v>
      </c>
      <c r="F218" s="30" t="str">
        <f>IF(LEN(VLOOKUP($A218,Questions!$B:$AA,23,FALSE))=0,"",VLOOKUP($A218,Questions!$B:$AA,23,FALSE))</f>
        <v xml:space="preserve"> </v>
      </c>
      <c r="G218" s="30" t="str">
        <f>IF(LEN(VLOOKUP($A218,Questions!$B:$AA,24,FALSE))=0,"",VLOOKUP($A218,Questions!$B:$AA,24,FALSE))</f>
        <v xml:space="preserve"> </v>
      </c>
      <c r="H218" s="30" t="str">
        <f>IF(LEN(VLOOKUP($A218,Questions!$B:$AA,25,FALSE))=0,"",VLOOKUP($A218,Questions!$B:$AA,25,FALSE))</f>
        <v xml:space="preserve"> </v>
      </c>
      <c r="I218" s="30" t="str">
        <f>IF(LEN(VLOOKUP($A218,Questions!$B:$AA,26,FALSE))=0,"",VLOOKUP($A218,Questions!$B:$AA,26,FALSE))</f>
        <v xml:space="preserve"> </v>
      </c>
      <c r="J218" s="30" t="str">
        <f>IF(LEN(VLOOKUP($A218,Questions!$B:$AB,27,FALSE))=0,"",VLOOKUP($A218,Questions!$B:$AB,27,FALSE))</f>
        <v xml:space="preserve"> </v>
      </c>
      <c r="K218"/>
    </row>
    <row r="219" spans="1:11" ht="36" customHeight="1">
      <c r="A219" s="10" t="s">
        <v>431</v>
      </c>
      <c r="B219" s="23" t="str">
        <f>VLOOKUP(A219,'HECVAT - Full | Vendor Response'!A$27:B$284,2,FALSE)</f>
        <v>Do you have documented, and currently implemented, internal audit processes and procedures?</v>
      </c>
      <c r="C219" s="30" t="str">
        <f>IF(LEN(VLOOKUP($A219,Questions!$B:$AA,20,FALSE))=0,"",VLOOKUP($A219,Questions!$B:$AA,20,FALSE))</f>
        <v xml:space="preserve"> </v>
      </c>
      <c r="D219" s="31" t="str">
        <f>IF(LEN(VLOOKUP($A219,Questions!$B:$AA,21,FALSE))=0,"",VLOOKUP($A219,Questions!$B:$AA,21,FALSE))</f>
        <v xml:space="preserve"> </v>
      </c>
      <c r="E219" s="30" t="str">
        <f>IF(LEN(VLOOKUP($A219,Questions!$B:$AA,22,FALSE))=0,"",VLOOKUP($A219,Questions!$B:$AA,22,FALSE))</f>
        <v xml:space="preserve"> </v>
      </c>
      <c r="F219" s="30" t="str">
        <f>IF(LEN(VLOOKUP($A219,Questions!$B:$AA,23,FALSE))=0,"",VLOOKUP($A219,Questions!$B:$AA,23,FALSE))</f>
        <v xml:space="preserve"> </v>
      </c>
      <c r="G219" s="31" t="str">
        <f>IF(LEN(VLOOKUP($A219,Questions!$B:$AA,24,FALSE))=0,"",VLOOKUP($A219,Questions!$B:$AA,24,FALSE))</f>
        <v xml:space="preserve"> </v>
      </c>
      <c r="H219" s="30" t="str">
        <f>IF(LEN(VLOOKUP($A219,Questions!$B:$AA,25,FALSE))=0,"",VLOOKUP($A219,Questions!$B:$AA,25,FALSE))</f>
        <v xml:space="preserve"> </v>
      </c>
      <c r="I219" s="30" t="str">
        <f>IF(LEN(VLOOKUP($A219,Questions!$B:$AA,26,FALSE))=0,"",VLOOKUP($A219,Questions!$B:$AA,26,FALSE))</f>
        <v xml:space="preserve"> </v>
      </c>
      <c r="J219" s="30" t="str">
        <f>IF(LEN(VLOOKUP($A219,Questions!$B:$AB,27,FALSE))=0,"",VLOOKUP($A219,Questions!$B:$AB,27,FALSE))</f>
        <v xml:space="preserve"> </v>
      </c>
      <c r="K219"/>
    </row>
    <row r="220" spans="1:11" ht="48" customHeight="1">
      <c r="A220" s="10" t="s">
        <v>433</v>
      </c>
      <c r="B220" s="23" t="str">
        <f>VLOOKUP(A220,'HECVAT - Full | Vendor Response'!A$27:B$284,2,FALSE)</f>
        <v>Does your organization have physical security controls and policies in place?</v>
      </c>
      <c r="C220" s="30" t="str">
        <f>IF(LEN(VLOOKUP($A220,Questions!$B:$AA,20,FALSE))=0,"",VLOOKUP($A220,Questions!$B:$AA,20,FALSE))</f>
        <v xml:space="preserve"> </v>
      </c>
      <c r="D220" s="30" t="str">
        <f>IF(LEN(VLOOKUP($A220,Questions!$B:$AA,21,FALSE))=0,"",VLOOKUP($A220,Questions!$B:$AA,21,FALSE))</f>
        <v xml:space="preserve"> </v>
      </c>
      <c r="E220" s="30" t="str">
        <f>IF(LEN(VLOOKUP($A220,Questions!$B:$AA,22,FALSE))=0,"",VLOOKUP($A220,Questions!$B:$AA,22,FALSE))</f>
        <v xml:space="preserve"> </v>
      </c>
      <c r="F220" s="30" t="str">
        <f>IF(LEN(VLOOKUP($A220,Questions!$B:$AA,23,FALSE))=0,"",VLOOKUP($A220,Questions!$B:$AA,23,FALSE))</f>
        <v xml:space="preserve"> </v>
      </c>
      <c r="G220" s="31" t="str">
        <f>IF(LEN(VLOOKUP($A220,Questions!$B:$AA,24,FALSE))=0,"",VLOOKUP($A220,Questions!$B:$AA,24,FALSE))</f>
        <v xml:space="preserve"> </v>
      </c>
      <c r="H220" s="30" t="str">
        <f>IF(LEN(VLOOKUP($A220,Questions!$B:$AA,25,FALSE))=0,"",VLOOKUP($A220,Questions!$B:$AA,25,FALSE))</f>
        <v xml:space="preserve"> </v>
      </c>
      <c r="I220" s="30" t="str">
        <f>IF(LEN(VLOOKUP($A220,Questions!$B:$AA,26,FALSE))=0,"",VLOOKUP($A220,Questions!$B:$AA,26,FALSE))</f>
        <v xml:space="preserve"> </v>
      </c>
      <c r="J220" s="30" t="str">
        <f>IF(LEN(VLOOKUP($A220,Questions!$B:$AB,27,FALSE))=0,"",VLOOKUP($A220,Questions!$B:$AB,27,FALSE))</f>
        <v xml:space="preserve"> </v>
      </c>
      <c r="K220" s="238" t="s">
        <v>3325</v>
      </c>
    </row>
    <row r="221" spans="1:11" ht="36" customHeight="1">
      <c r="A221" s="283" t="s">
        <v>434</v>
      </c>
      <c r="B221" s="283"/>
      <c r="C221" s="18" t="str">
        <f>C$23</f>
        <v>CIS Critical Security Controls v6.1</v>
      </c>
      <c r="D221" s="18" t="str">
        <f t="shared" ref="D221:J221" si="14">D$23</f>
        <v>HIPAA</v>
      </c>
      <c r="E221" s="18" t="str">
        <f t="shared" si="14"/>
        <v>ISO 27002:27013</v>
      </c>
      <c r="F221" s="18" t="str">
        <f t="shared" si="14"/>
        <v>NIST Cybersecurity Framework</v>
      </c>
      <c r="G221" s="18" t="str">
        <f t="shared" si="14"/>
        <v>NIST SP 800-171r2</v>
      </c>
      <c r="H221" s="18" t="str">
        <f t="shared" si="14"/>
        <v>NIST SP 800-53r4</v>
      </c>
      <c r="I221" s="18" t="str">
        <f t="shared" si="14"/>
        <v>PCI DSS</v>
      </c>
      <c r="J221" s="18" t="str">
        <f t="shared" si="14"/>
        <v>Trusted CI</v>
      </c>
      <c r="K221"/>
    </row>
    <row r="222" spans="1:11" ht="70.5" customHeight="1">
      <c r="A222" s="10" t="s">
        <v>3326</v>
      </c>
      <c r="B222" s="23" t="e">
        <f>VLOOKUP(A222,'HECVAT - Full | Vendor Response'!A$27:B$284,2,FALSE)</f>
        <v>#N/A</v>
      </c>
      <c r="C222" s="31" t="e">
        <f>IF(LEN(VLOOKUP($A222,Questions!$B:$AA,20,FALSE))=0,"",VLOOKUP($A222,Questions!$B:$AA,20,FALSE))</f>
        <v>#N/A</v>
      </c>
      <c r="D222" s="31" t="e">
        <f>IF(LEN(VLOOKUP($A222,Questions!$B:$AA,21,FALSE))=0,"",VLOOKUP($A222,Questions!$B:$AA,21,FALSE))</f>
        <v>#N/A</v>
      </c>
      <c r="E222" s="30" t="e">
        <f>IF(LEN(VLOOKUP($A222,Questions!$B:$AA,22,FALSE))=0,"",VLOOKUP($A222,Questions!$B:$AA,22,FALSE))</f>
        <v>#N/A</v>
      </c>
      <c r="F222" s="31" t="e">
        <f>IF(LEN(VLOOKUP($A222,Questions!$B:$AA,23,FALSE))=0,"",VLOOKUP($A222,Questions!$B:$AA,23,FALSE))</f>
        <v>#N/A</v>
      </c>
      <c r="G222" s="31" t="e">
        <f>IF(LEN(VLOOKUP($A222,Questions!$B:$AA,24,FALSE))=0,"",VLOOKUP($A222,Questions!$B:$AA,24,FALSE))</f>
        <v>#N/A</v>
      </c>
      <c r="H222" s="30" t="e">
        <f>IF(LEN(VLOOKUP($A222,Questions!$B:$AA,25,FALSE))=0,"",VLOOKUP($A222,Questions!$B:$AA,25,FALSE))</f>
        <v>#N/A</v>
      </c>
      <c r="I222" s="31" t="e">
        <f>IF(LEN(VLOOKUP($A222,Questions!$B:$AA,26,FALSE))=0,"",VLOOKUP($A222,Questions!$B:$AA,26,FALSE))</f>
        <v>#N/A</v>
      </c>
      <c r="J222" s="31" t="e">
        <f>IF(LEN(VLOOKUP($A222,Questions!$B:$AB,27,FALSE))=0,"",VLOOKUP($A222,Questions!$B:$AB,27,FALSE))</f>
        <v>#N/A</v>
      </c>
      <c r="K222"/>
    </row>
    <row r="223" spans="1:11" ht="70.5" customHeight="1">
      <c r="A223" s="10" t="s">
        <v>3327</v>
      </c>
      <c r="B223" s="23" t="e">
        <f>VLOOKUP(A223,'HECVAT - Full | Vendor Response'!A$27:B$284,2,FALSE)</f>
        <v>#N/A</v>
      </c>
      <c r="C223" s="31" t="e">
        <f>IF(LEN(VLOOKUP($A223,Questions!$B:$AA,20,FALSE))=0,"",VLOOKUP($A223,Questions!$B:$AA,20,FALSE))</f>
        <v>#N/A</v>
      </c>
      <c r="D223" s="31" t="e">
        <f>IF(LEN(VLOOKUP($A223,Questions!$B:$AA,21,FALSE))=0,"",VLOOKUP($A223,Questions!$B:$AA,21,FALSE))</f>
        <v>#N/A</v>
      </c>
      <c r="E223" s="30" t="e">
        <f>IF(LEN(VLOOKUP($A223,Questions!$B:$AA,22,FALSE))=0,"",VLOOKUP($A223,Questions!$B:$AA,22,FALSE))</f>
        <v>#N/A</v>
      </c>
      <c r="F223" s="31" t="e">
        <f>IF(LEN(VLOOKUP($A223,Questions!$B:$AA,23,FALSE))=0,"",VLOOKUP($A223,Questions!$B:$AA,23,FALSE))</f>
        <v>#N/A</v>
      </c>
      <c r="G223" s="31" t="e">
        <f>IF(LEN(VLOOKUP($A223,Questions!$B:$AA,24,FALSE))=0,"",VLOOKUP($A223,Questions!$B:$AA,24,FALSE))</f>
        <v>#N/A</v>
      </c>
      <c r="H223" s="30" t="e">
        <f>IF(LEN(VLOOKUP($A223,Questions!$B:$AA,25,FALSE))=0,"",VLOOKUP($A223,Questions!$B:$AA,25,FALSE))</f>
        <v>#N/A</v>
      </c>
      <c r="I223" s="31" t="e">
        <f>IF(LEN(VLOOKUP($A223,Questions!$B:$AA,26,FALSE))=0,"",VLOOKUP($A223,Questions!$B:$AA,26,FALSE))</f>
        <v>#N/A</v>
      </c>
      <c r="J223" s="31" t="e">
        <f>IF(LEN(VLOOKUP($A223,Questions!$B:$AB,27,FALSE))=0,"",VLOOKUP($A223,Questions!$B:$AB,27,FALSE))</f>
        <v>#N/A</v>
      </c>
      <c r="K223"/>
    </row>
    <row r="224" spans="1:11" ht="70.5" customHeight="1">
      <c r="A224" s="10" t="s">
        <v>3328</v>
      </c>
      <c r="B224" s="23" t="e">
        <f>VLOOKUP(A224,'HECVAT - Full | Vendor Response'!A$27:B$284,2,FALSE)</f>
        <v>#N/A</v>
      </c>
      <c r="C224" s="31" t="e">
        <f>IF(LEN(VLOOKUP($A224,Questions!$B:$AA,20,FALSE))=0,"",VLOOKUP($A224,Questions!$B:$AA,20,FALSE))</f>
        <v>#N/A</v>
      </c>
      <c r="D224" s="31" t="e">
        <f>IF(LEN(VLOOKUP($A224,Questions!$B:$AA,21,FALSE))=0,"",VLOOKUP($A224,Questions!$B:$AA,21,FALSE))</f>
        <v>#N/A</v>
      </c>
      <c r="E224" s="30" t="e">
        <f>IF(LEN(VLOOKUP($A224,Questions!$B:$AA,22,FALSE))=0,"",VLOOKUP($A224,Questions!$B:$AA,22,FALSE))</f>
        <v>#N/A</v>
      </c>
      <c r="F224" s="31" t="e">
        <f>IF(LEN(VLOOKUP($A224,Questions!$B:$AA,23,FALSE))=0,"",VLOOKUP($A224,Questions!$B:$AA,23,FALSE))</f>
        <v>#N/A</v>
      </c>
      <c r="G224" s="31" t="e">
        <f>IF(LEN(VLOOKUP($A224,Questions!$B:$AA,24,FALSE))=0,"",VLOOKUP($A224,Questions!$B:$AA,24,FALSE))</f>
        <v>#N/A</v>
      </c>
      <c r="H224" s="30" t="e">
        <f>IF(LEN(VLOOKUP($A224,Questions!$B:$AA,25,FALSE))=0,"",VLOOKUP($A224,Questions!$B:$AA,25,FALSE))</f>
        <v>#N/A</v>
      </c>
      <c r="I224" s="31" t="e">
        <f>IF(LEN(VLOOKUP($A224,Questions!$B:$AA,26,FALSE))=0,"",VLOOKUP($A224,Questions!$B:$AA,26,FALSE))</f>
        <v>#N/A</v>
      </c>
      <c r="J224" s="31" t="e">
        <f>IF(LEN(VLOOKUP($A224,Questions!$B:$AB,27,FALSE))=0,"",VLOOKUP($A224,Questions!$B:$AB,27,FALSE))</f>
        <v>#N/A</v>
      </c>
      <c r="K224"/>
    </row>
    <row r="225" spans="1:11" ht="70.5" customHeight="1">
      <c r="A225" s="10" t="s">
        <v>3329</v>
      </c>
      <c r="B225" s="23" t="e">
        <f>VLOOKUP(A225,'HECVAT - Full | Vendor Response'!A$27:B$284,2,FALSE)</f>
        <v>#N/A</v>
      </c>
      <c r="C225" s="31" t="e">
        <f>IF(LEN(VLOOKUP($A225,Questions!$B:$AA,20,FALSE))=0,"",VLOOKUP($A225,Questions!$B:$AA,20,FALSE))</f>
        <v>#N/A</v>
      </c>
      <c r="D225" s="31" t="e">
        <f>IF(LEN(VLOOKUP($A225,Questions!$B:$AA,21,FALSE))=0,"",VLOOKUP($A225,Questions!$B:$AA,21,FALSE))</f>
        <v>#N/A</v>
      </c>
      <c r="E225" s="30" t="e">
        <f>IF(LEN(VLOOKUP($A225,Questions!$B:$AA,22,FALSE))=0,"",VLOOKUP($A225,Questions!$B:$AA,22,FALSE))</f>
        <v>#N/A</v>
      </c>
      <c r="F225" s="31" t="e">
        <f>IF(LEN(VLOOKUP($A225,Questions!$B:$AA,23,FALSE))=0,"",VLOOKUP($A225,Questions!$B:$AA,23,FALSE))</f>
        <v>#N/A</v>
      </c>
      <c r="G225" s="31" t="e">
        <f>IF(LEN(VLOOKUP($A225,Questions!$B:$AA,24,FALSE))=0,"",VLOOKUP($A225,Questions!$B:$AA,24,FALSE))</f>
        <v>#N/A</v>
      </c>
      <c r="H225" s="30" t="e">
        <f>IF(LEN(VLOOKUP($A225,Questions!$B:$AA,25,FALSE))=0,"",VLOOKUP($A225,Questions!$B:$AA,25,FALSE))</f>
        <v>#N/A</v>
      </c>
      <c r="I225" s="31" t="e">
        <f>IF(LEN(VLOOKUP($A225,Questions!$B:$AA,26,FALSE))=0,"",VLOOKUP($A225,Questions!$B:$AA,26,FALSE))</f>
        <v>#N/A</v>
      </c>
      <c r="J225" s="31" t="e">
        <f>IF(LEN(VLOOKUP($A225,Questions!$B:$AB,27,FALSE))=0,"",VLOOKUP($A225,Questions!$B:$AB,27,FALSE))</f>
        <v>#N/A</v>
      </c>
      <c r="K225" s="238" t="s">
        <v>3325</v>
      </c>
    </row>
    <row r="226" spans="1:11" ht="36" customHeight="1">
      <c r="A226" s="283" t="str">
        <f>IF($C$31="","Quality Assurance",IF($C$31="Yes","Quality Assurance - Optional based on QUALIFIER response.","Quality Assurance"))</f>
        <v>Quality Assurance</v>
      </c>
      <c r="B226" s="283"/>
      <c r="C226" s="18" t="str">
        <f>C$23</f>
        <v>CIS Critical Security Controls v6.1</v>
      </c>
      <c r="D226" s="18" t="str">
        <f t="shared" ref="D226:J226" si="15">D$23</f>
        <v>HIPAA</v>
      </c>
      <c r="E226" s="18" t="str">
        <f t="shared" si="15"/>
        <v>ISO 27002:27013</v>
      </c>
      <c r="F226" s="18" t="str">
        <f t="shared" si="15"/>
        <v>NIST Cybersecurity Framework</v>
      </c>
      <c r="G226" s="18" t="str">
        <f t="shared" si="15"/>
        <v>NIST SP 800-171r2</v>
      </c>
      <c r="H226" s="18" t="str">
        <f t="shared" si="15"/>
        <v>NIST SP 800-53r4</v>
      </c>
      <c r="I226" s="18" t="str">
        <f t="shared" si="15"/>
        <v>PCI DSS</v>
      </c>
      <c r="J226" s="18" t="str">
        <f t="shared" si="15"/>
        <v>Trusted CI</v>
      </c>
      <c r="K226"/>
    </row>
    <row r="227" spans="1:11" ht="48" customHeight="1">
      <c r="A227" s="10" t="s">
        <v>443</v>
      </c>
      <c r="B227" s="23" t="str">
        <f>VLOOKUP(A227,'HECVAT - Full | Vendor Response'!A$27:B$284,2,FALSE)</f>
        <v>Do you have a documented and currently implemented Quality Assurance program?</v>
      </c>
      <c r="C227" s="30" t="str">
        <f>IF(LEN(VLOOKUP($A227,Questions!$B:$AA,20,FALSE))=0,"",VLOOKUP($A227,Questions!$B:$AA,20,FALSE))</f>
        <v xml:space="preserve"> </v>
      </c>
      <c r="D227" s="32" t="str">
        <f>IF(LEN(VLOOKUP($A227,Questions!$B:$AA,21,FALSE))=0,"",VLOOKUP($A227,Questions!$B:$AA,21,FALSE))</f>
        <v xml:space="preserve"> </v>
      </c>
      <c r="E227" s="32" t="str">
        <f>IF(LEN(VLOOKUP($A227,Questions!$B:$AA,22,FALSE))=0,"",VLOOKUP($A227,Questions!$B:$AA,22,FALSE))</f>
        <v xml:space="preserve"> </v>
      </c>
      <c r="F227" s="32" t="str">
        <f>IF(LEN(VLOOKUP($A227,Questions!$B:$AA,23,FALSE))=0,"",VLOOKUP($A227,Questions!$B:$AA,23,FALSE))</f>
        <v xml:space="preserve"> </v>
      </c>
      <c r="G227" s="32" t="str">
        <f>IF(LEN(VLOOKUP($A227,Questions!$B:$AA,24,FALSE))=0,"",VLOOKUP($A227,Questions!$B:$AA,24,FALSE))</f>
        <v xml:space="preserve"> </v>
      </c>
      <c r="H227" s="32" t="str">
        <f>IF(LEN(VLOOKUP($A227,Questions!$B:$AA,25,FALSE))=0,"",VLOOKUP($A227,Questions!$B:$AA,25,FALSE))</f>
        <v xml:space="preserve"> </v>
      </c>
      <c r="I227" s="32" t="str">
        <f>IF(LEN(VLOOKUP($A227,Questions!$B:$AA,26,FALSE))=0,"",VLOOKUP($A227,Questions!$B:$AA,26,FALSE))</f>
        <v xml:space="preserve"> </v>
      </c>
      <c r="J227" s="32" t="str">
        <f>IF(LEN(VLOOKUP($A227,Questions!$B:$AB,27,FALSE))=0,"",VLOOKUP($A227,Questions!$B:$AB,27,FALSE))</f>
        <v xml:space="preserve"> </v>
      </c>
      <c r="K227"/>
    </row>
    <row r="228" spans="1:11" ht="36" customHeight="1">
      <c r="A228" s="10" t="s">
        <v>445</v>
      </c>
      <c r="B228" s="23" t="str">
        <f>VLOOKUP(A228,'HECVAT - Full | Vendor Response'!A$27:B$284,2,FALSE)</f>
        <v>Do you comply with ISO 9001?</v>
      </c>
      <c r="C228" s="30" t="str">
        <f>IF(LEN(VLOOKUP($A228,Questions!$B:$AA,20,FALSE))=0,"",VLOOKUP($A228,Questions!$B:$AA,20,FALSE))</f>
        <v xml:space="preserve"> </v>
      </c>
      <c r="D228" s="32" t="str">
        <f>IF(LEN(VLOOKUP($A228,Questions!$B:$AA,21,FALSE))=0,"",VLOOKUP($A228,Questions!$B:$AA,21,FALSE))</f>
        <v xml:space="preserve"> </v>
      </c>
      <c r="E228" s="30" t="str">
        <f>IF(LEN(VLOOKUP($A228,Questions!$B:$AA,22,FALSE))=0,"",VLOOKUP($A228,Questions!$B:$AA,22,FALSE))</f>
        <v xml:space="preserve"> </v>
      </c>
      <c r="F228" s="31" t="str">
        <f>IF(LEN(VLOOKUP($A228,Questions!$B:$AA,23,FALSE))=0,"",VLOOKUP($A228,Questions!$B:$AA,23,FALSE))</f>
        <v xml:space="preserve"> </v>
      </c>
      <c r="G228" s="31" t="str">
        <f>IF(LEN(VLOOKUP($A228,Questions!$B:$AA,24,FALSE))=0,"",VLOOKUP($A228,Questions!$B:$AA,24,FALSE))</f>
        <v xml:space="preserve"> </v>
      </c>
      <c r="H228" s="32" t="str">
        <f>IF(LEN(VLOOKUP($A228,Questions!$B:$AA,25,FALSE))=0,"",VLOOKUP($A228,Questions!$B:$AA,25,FALSE))</f>
        <v xml:space="preserve"> </v>
      </c>
      <c r="I228" s="32" t="str">
        <f>IF(LEN(VLOOKUP($A228,Questions!$B:$AA,26,FALSE))=0,"",VLOOKUP($A228,Questions!$B:$AA,26,FALSE))</f>
        <v xml:space="preserve"> </v>
      </c>
      <c r="J228" s="32" t="str">
        <f>IF(LEN(VLOOKUP($A228,Questions!$B:$AB,27,FALSE))=0,"",VLOOKUP($A228,Questions!$B:$AB,27,FALSE))</f>
        <v xml:space="preserve"> </v>
      </c>
      <c r="K228"/>
    </row>
    <row r="229" spans="1:11" ht="53.25" customHeight="1">
      <c r="A229" s="10" t="s">
        <v>447</v>
      </c>
      <c r="B229" s="23" t="str">
        <f>VLOOKUP(A229,'HECVAT - Full | Vendor Response'!A$27:B$284,2,FALSE)</f>
        <v>Will your company provide quality and performance metrics in relation to the scope of services and performance expectations for the services you are offering?</v>
      </c>
      <c r="C229" s="30" t="str">
        <f>IF(LEN(VLOOKUP($A229,Questions!$B:$AA,20,FALSE))=0,"",VLOOKUP($A229,Questions!$B:$AA,20,FALSE))</f>
        <v xml:space="preserve"> </v>
      </c>
      <c r="D229" s="32" t="str">
        <f>IF(LEN(VLOOKUP($A229,Questions!$B:$AA,21,FALSE))=0,"",VLOOKUP($A229,Questions!$B:$AA,21,FALSE))</f>
        <v xml:space="preserve"> </v>
      </c>
      <c r="E229" s="32" t="str">
        <f>IF(LEN(VLOOKUP($A229,Questions!$B:$AA,22,FALSE))=0,"",VLOOKUP($A229,Questions!$B:$AA,22,FALSE))</f>
        <v xml:space="preserve"> </v>
      </c>
      <c r="F229" s="31" t="str">
        <f>IF(LEN(VLOOKUP($A229,Questions!$B:$AA,23,FALSE))=0,"",VLOOKUP($A229,Questions!$B:$AA,23,FALSE))</f>
        <v xml:space="preserve"> </v>
      </c>
      <c r="G229" s="31" t="str">
        <f>IF(LEN(VLOOKUP($A229,Questions!$B:$AA,24,FALSE))=0,"",VLOOKUP($A229,Questions!$B:$AA,24,FALSE))</f>
        <v xml:space="preserve"> </v>
      </c>
      <c r="H229" s="32" t="str">
        <f>IF(LEN(VLOOKUP($A229,Questions!$B:$AA,25,FALSE))=0,"",VLOOKUP($A229,Questions!$B:$AA,25,FALSE))</f>
        <v xml:space="preserve"> </v>
      </c>
      <c r="I229" s="32" t="str">
        <f>IF(LEN(VLOOKUP($A229,Questions!$B:$AA,26,FALSE))=0,"",VLOOKUP($A229,Questions!$B:$AA,26,FALSE))</f>
        <v xml:space="preserve"> </v>
      </c>
      <c r="J229" s="32" t="str">
        <f>IF(LEN(VLOOKUP($A229,Questions!$B:$AB,27,FALSE))=0,"",VLOOKUP($A229,Questions!$B:$AB,27,FALSE))</f>
        <v xml:space="preserve"> </v>
      </c>
      <c r="K229"/>
    </row>
    <row r="230" spans="1:11" ht="53.25" customHeight="1">
      <c r="A230" s="10" t="s">
        <v>449</v>
      </c>
      <c r="B230" s="23" t="str">
        <f>VLOOKUP(A230,'HECVAT - Full | Vendor Response'!A$27:B$284,2,FALSE)</f>
        <v>Do you incorporate customer feedback into security feature requests?</v>
      </c>
      <c r="C230" s="31" t="str">
        <f>IF(LEN(VLOOKUP($A230,Questions!$B:$AA,20,FALSE))=0,"",VLOOKUP($A230,Questions!$B:$AA,20,FALSE))</f>
        <v xml:space="preserve"> </v>
      </c>
      <c r="D230" s="32" t="str">
        <f>IF(LEN(VLOOKUP($A230,Questions!$B:$AA,21,FALSE))=0,"",VLOOKUP($A230,Questions!$B:$AA,21,FALSE))</f>
        <v xml:space="preserve"> </v>
      </c>
      <c r="E230" s="32" t="str">
        <f>IF(LEN(VLOOKUP($A230,Questions!$B:$AA,22,FALSE))=0,"",VLOOKUP($A230,Questions!$B:$AA,22,FALSE))</f>
        <v xml:space="preserve"> </v>
      </c>
      <c r="F230" s="31" t="str">
        <f>IF(LEN(VLOOKUP($A230,Questions!$B:$AA,23,FALSE))=0,"",VLOOKUP($A230,Questions!$B:$AA,23,FALSE))</f>
        <v xml:space="preserve"> </v>
      </c>
      <c r="G230" s="31" t="str">
        <f>IF(LEN(VLOOKUP($A230,Questions!$B:$AA,24,FALSE))=0,"",VLOOKUP($A230,Questions!$B:$AA,24,FALSE))</f>
        <v xml:space="preserve"> </v>
      </c>
      <c r="H230" s="32" t="str">
        <f>IF(LEN(VLOOKUP($A230,Questions!$B:$AA,25,FALSE))=0,"",VLOOKUP($A230,Questions!$B:$AA,25,FALSE))</f>
        <v xml:space="preserve"> </v>
      </c>
      <c r="I230" s="32" t="str">
        <f>IF(LEN(VLOOKUP($A230,Questions!$B:$AA,26,FALSE))=0,"",VLOOKUP($A230,Questions!$B:$AA,26,FALSE))</f>
        <v xml:space="preserve"> </v>
      </c>
      <c r="J230" s="32" t="str">
        <f>IF(LEN(VLOOKUP($A230,Questions!$B:$AB,27,FALSE))=0,"",VLOOKUP($A230,Questions!$B:$AB,27,FALSE))</f>
        <v xml:space="preserve"> </v>
      </c>
      <c r="K230"/>
    </row>
    <row r="231" spans="1:11" ht="48" customHeight="1">
      <c r="A231" s="10" t="s">
        <v>451</v>
      </c>
      <c r="B231" s="23" t="str">
        <f>VLOOKUP(A231,'HECVAT - Full | Vendor Response'!A$27:B$284,2,FALSE)</f>
        <v>Can you provide an evaluation site to the institution for testing?</v>
      </c>
      <c r="C231" s="30" t="str">
        <f>IF(LEN(VLOOKUP($A231,Questions!$B:$AA,20,FALSE))=0,"",VLOOKUP($A231,Questions!$B:$AA,20,FALSE))</f>
        <v xml:space="preserve"> </v>
      </c>
      <c r="D231" s="32" t="str">
        <f>IF(LEN(VLOOKUP($A231,Questions!$B:$AA,21,FALSE))=0,"",VLOOKUP($A231,Questions!$B:$AA,21,FALSE))</f>
        <v xml:space="preserve"> </v>
      </c>
      <c r="E231" s="32" t="str">
        <f>IF(LEN(VLOOKUP($A231,Questions!$B:$AA,22,FALSE))=0,"",VLOOKUP($A231,Questions!$B:$AA,22,FALSE))</f>
        <v xml:space="preserve"> </v>
      </c>
      <c r="F231" s="31" t="str">
        <f>IF(LEN(VLOOKUP($A231,Questions!$B:$AA,23,FALSE))=0,"",VLOOKUP($A231,Questions!$B:$AA,23,FALSE))</f>
        <v xml:space="preserve"> </v>
      </c>
      <c r="G231" s="31" t="str">
        <f>IF(LEN(VLOOKUP($A231,Questions!$B:$AA,24,FALSE))=0,"",VLOOKUP($A231,Questions!$B:$AA,24,FALSE))</f>
        <v xml:space="preserve"> </v>
      </c>
      <c r="H231" s="32" t="str">
        <f>IF(LEN(VLOOKUP($A231,Questions!$B:$AA,25,FALSE))=0,"",VLOOKUP($A231,Questions!$B:$AA,25,FALSE))</f>
        <v xml:space="preserve"> </v>
      </c>
      <c r="I231" s="32" t="str">
        <f>IF(LEN(VLOOKUP($A231,Questions!$B:$AA,26,FALSE))=0,"",VLOOKUP($A231,Questions!$B:$AA,26,FALSE))</f>
        <v xml:space="preserve"> </v>
      </c>
      <c r="J231" s="32" t="str">
        <f>IF(LEN(VLOOKUP($A231,Questions!$B:$AB,27,FALSE))=0,"",VLOOKUP($A231,Questions!$B:$AB,27,FALSE))</f>
        <v xml:space="preserve"> </v>
      </c>
      <c r="K231" s="238" t="s">
        <v>3325</v>
      </c>
    </row>
    <row r="232" spans="1:11" ht="36" customHeight="1">
      <c r="A232" s="283" t="str">
        <f>IF($C$31="","Vulnerability Scanning",IF($C$31="Yes","Vulnerability Scanning - Optional based on QUALIFIER response.","Vulnerability Scanning"))</f>
        <v>Vulnerability Scanning</v>
      </c>
      <c r="B232" s="283"/>
      <c r="C232" s="18" t="str">
        <f>C$23</f>
        <v>CIS Critical Security Controls v6.1</v>
      </c>
      <c r="D232" s="18" t="str">
        <f t="shared" ref="D232:J232" si="16">D$23</f>
        <v>HIPAA</v>
      </c>
      <c r="E232" s="18" t="str">
        <f t="shared" si="16"/>
        <v>ISO 27002:27013</v>
      </c>
      <c r="F232" s="18" t="str">
        <f t="shared" si="16"/>
        <v>NIST Cybersecurity Framework</v>
      </c>
      <c r="G232" s="18" t="str">
        <f t="shared" si="16"/>
        <v>NIST SP 800-171r2</v>
      </c>
      <c r="H232" s="18" t="str">
        <f t="shared" si="16"/>
        <v>NIST SP 800-53r4</v>
      </c>
      <c r="I232" s="18" t="str">
        <f t="shared" si="16"/>
        <v>PCI DSS</v>
      </c>
      <c r="J232" s="18" t="str">
        <f t="shared" si="16"/>
        <v>Trusted CI</v>
      </c>
      <c r="K232"/>
    </row>
    <row r="233" spans="1:11" ht="36" customHeight="1">
      <c r="A233" s="10" t="s">
        <v>454</v>
      </c>
      <c r="B233" s="23" t="str">
        <f>VLOOKUP(A233,'HECVAT - Full | Vendor Response'!A$27:B$284,2,FALSE)</f>
        <v>Are your systems and applications regularly scanned externally for vulnerabilities?</v>
      </c>
      <c r="C233" s="30" t="str">
        <f>IF(LEN(VLOOKUP($A233,Questions!$B:$AA,20,FALSE))=0,"",VLOOKUP($A233,Questions!$B:$AA,20,FALSE))</f>
        <v xml:space="preserve"> </v>
      </c>
      <c r="D233" s="32" t="str">
        <f>IF(LEN(VLOOKUP($A233,Questions!$B:$AA,21,FALSE))=0,"",VLOOKUP($A233,Questions!$B:$AA,21,FALSE))</f>
        <v xml:space="preserve"> </v>
      </c>
      <c r="E233" s="30" t="str">
        <f>IF(LEN(VLOOKUP($A233,Questions!$B:$AA,22,FALSE))=0,"",VLOOKUP($A233,Questions!$B:$AA,22,FALSE))</f>
        <v xml:space="preserve"> </v>
      </c>
      <c r="F233" s="30" t="str">
        <f>IF(LEN(VLOOKUP($A233,Questions!$B:$AA,23,FALSE))=0,"",VLOOKUP($A233,Questions!$B:$AA,23,FALSE))</f>
        <v xml:space="preserve"> </v>
      </c>
      <c r="G233" s="30" t="str">
        <f>IF(LEN(VLOOKUP($A233,Questions!$B:$AA,24,FALSE))=0,"",VLOOKUP($A233,Questions!$B:$AA,24,FALSE))</f>
        <v xml:space="preserve"> </v>
      </c>
      <c r="H233" s="30" t="str">
        <f>IF(LEN(VLOOKUP($A233,Questions!$B:$AA,25,FALSE))=0,"",VLOOKUP($A233,Questions!$B:$AA,25,FALSE))</f>
        <v xml:space="preserve"> </v>
      </c>
      <c r="I233" s="222" t="str">
        <f>IF(LEN(VLOOKUP($A233,Questions!$B:$AA,26,FALSE))=0,"",VLOOKUP($A233,Questions!$B:$AA,26,FALSE))</f>
        <v xml:space="preserve"> </v>
      </c>
      <c r="J233" s="222" t="str">
        <f>IF(LEN(VLOOKUP($A233,Questions!$B:$AB,27,FALSE))=0,"",VLOOKUP($A233,Questions!$B:$AB,27,FALSE))</f>
        <v xml:space="preserve"> </v>
      </c>
      <c r="K233"/>
    </row>
    <row r="234" spans="1:11" ht="36" customHeight="1">
      <c r="A234" s="10" t="s">
        <v>456</v>
      </c>
      <c r="B234" s="23" t="str">
        <f>VLOOKUP(A234,'HECVAT - Full | Vendor Response'!A$27:B$284,2,FALSE)</f>
        <v>Have your systems and applications had a third-party security assessment completed in the last year?</v>
      </c>
      <c r="C234" s="30" t="str">
        <f>IF(LEN(VLOOKUP($A234,Questions!$B:$AA,20,FALSE))=0,"",VLOOKUP($A234,Questions!$B:$AA,20,FALSE))</f>
        <v xml:space="preserve"> </v>
      </c>
      <c r="D234" s="32" t="str">
        <f>IF(LEN(VLOOKUP($A234,Questions!$B:$AA,21,FALSE))=0,"",VLOOKUP($A234,Questions!$B:$AA,21,FALSE))</f>
        <v xml:space="preserve"> </v>
      </c>
      <c r="E234" s="30" t="str">
        <f>IF(LEN(VLOOKUP($A234,Questions!$B:$AA,22,FALSE))=0,"",VLOOKUP($A234,Questions!$B:$AA,22,FALSE))</f>
        <v xml:space="preserve"> </v>
      </c>
      <c r="F234" s="30" t="str">
        <f>IF(LEN(VLOOKUP($A234,Questions!$B:$AA,23,FALSE))=0,"",VLOOKUP($A234,Questions!$B:$AA,23,FALSE))</f>
        <v xml:space="preserve"> </v>
      </c>
      <c r="G234" s="30" t="str">
        <f>IF(LEN(VLOOKUP($A234,Questions!$B:$AA,24,FALSE))=0,"",VLOOKUP($A234,Questions!$B:$AA,24,FALSE))</f>
        <v xml:space="preserve"> </v>
      </c>
      <c r="H234" s="30" t="str">
        <f>IF(LEN(VLOOKUP($A234,Questions!$B:$AA,25,FALSE))=0,"",VLOOKUP($A234,Questions!$B:$AA,25,FALSE))</f>
        <v xml:space="preserve"> </v>
      </c>
      <c r="I234" s="222" t="str">
        <f>IF(LEN(VLOOKUP($A234,Questions!$B:$AA,26,FALSE))=0,"",VLOOKUP($A234,Questions!$B:$AA,26,FALSE))</f>
        <v xml:space="preserve"> </v>
      </c>
      <c r="J234" s="222" t="str">
        <f>IF(LEN(VLOOKUP($A234,Questions!$B:$AB,27,FALSE))=0,"",VLOOKUP($A234,Questions!$B:$AB,27,FALSE))</f>
        <v xml:space="preserve"> </v>
      </c>
      <c r="K234"/>
    </row>
    <row r="235" spans="1:11" ht="65.25" customHeight="1">
      <c r="A235" s="10" t="s">
        <v>458</v>
      </c>
      <c r="B235" s="23" t="str">
        <f>VLOOKUP(A235,'HECVAT - Full | Vendor Response'!A$27:B$284,2,FALSE)</f>
        <v>Are your systems and applications scanned with an authenticated user account for vulnerabilities (that are remediated) prior to new releases?</v>
      </c>
      <c r="C235" s="30" t="str">
        <f>IF(LEN(VLOOKUP($A235,Questions!$B:$AA,20,FALSE))=0,"",VLOOKUP($A235,Questions!$B:$AA,20,FALSE))</f>
        <v xml:space="preserve"> </v>
      </c>
      <c r="D235" s="32" t="str">
        <f>IF(LEN(VLOOKUP($A235,Questions!$B:$AA,21,FALSE))=0,"",VLOOKUP($A235,Questions!$B:$AA,21,FALSE))</f>
        <v xml:space="preserve"> </v>
      </c>
      <c r="E235" s="31" t="str">
        <f>IF(LEN(VLOOKUP($A235,Questions!$B:$AA,22,FALSE))=0,"",VLOOKUP($A235,Questions!$B:$AA,22,FALSE))</f>
        <v xml:space="preserve"> </v>
      </c>
      <c r="F235" s="30" t="str">
        <f>IF(LEN(VLOOKUP($A235,Questions!$B:$AA,23,FALSE))=0,"",VLOOKUP($A235,Questions!$B:$AA,23,FALSE))</f>
        <v xml:space="preserve"> </v>
      </c>
      <c r="G235" s="30" t="str">
        <f>IF(LEN(VLOOKUP($A235,Questions!$B:$AA,24,FALSE))=0,"",VLOOKUP($A235,Questions!$B:$AA,24,FALSE))</f>
        <v xml:space="preserve"> </v>
      </c>
      <c r="H235" s="30" t="str">
        <f>IF(LEN(VLOOKUP($A235,Questions!$B:$AA,25,FALSE))=0,"",VLOOKUP($A235,Questions!$B:$AA,25,FALSE))</f>
        <v xml:space="preserve"> </v>
      </c>
      <c r="I235" s="222" t="str">
        <f>IF(LEN(VLOOKUP($A235,Questions!$B:$AA,26,FALSE))=0,"",VLOOKUP($A235,Questions!$B:$AA,26,FALSE))</f>
        <v xml:space="preserve"> </v>
      </c>
      <c r="J235" s="222" t="str">
        <f>IF(LEN(VLOOKUP($A235,Questions!$B:$AB,27,FALSE))=0,"",VLOOKUP($A235,Questions!$B:$AB,27,FALSE))</f>
        <v xml:space="preserve"> </v>
      </c>
      <c r="K235"/>
    </row>
    <row r="236" spans="1:11" ht="49.5" customHeight="1">
      <c r="A236" s="10" t="s">
        <v>460</v>
      </c>
      <c r="B236" s="23" t="str">
        <f>VLOOKUP(A236,'HECVAT - Full | Vendor Response'!A$27:B$284,2,FALSE)</f>
        <v>Will you provide results of application and system vulnerability scans to the institution?</v>
      </c>
      <c r="C236" s="30" t="str">
        <f>IF(LEN(VLOOKUP($A236,Questions!$B:$AA,20,FALSE))=0,"",VLOOKUP($A236,Questions!$B:$AA,20,FALSE))</f>
        <v xml:space="preserve"> </v>
      </c>
      <c r="D236" s="32" t="str">
        <f>IF(LEN(VLOOKUP($A236,Questions!$B:$AA,21,FALSE))=0,"",VLOOKUP($A236,Questions!$B:$AA,21,FALSE))</f>
        <v xml:space="preserve"> </v>
      </c>
      <c r="E236" s="31" t="str">
        <f>IF(LEN(VLOOKUP($A236,Questions!$B:$AA,22,FALSE))=0,"",VLOOKUP($A236,Questions!$B:$AA,22,FALSE))</f>
        <v xml:space="preserve"> </v>
      </c>
      <c r="F236" s="30" t="str">
        <f>IF(LEN(VLOOKUP($A236,Questions!$B:$AA,23,FALSE))=0,"",VLOOKUP($A236,Questions!$B:$AA,23,FALSE))</f>
        <v xml:space="preserve"> </v>
      </c>
      <c r="G236" s="30" t="str">
        <f>IF(LEN(VLOOKUP($A236,Questions!$B:$AA,24,FALSE))=0,"",VLOOKUP($A236,Questions!$B:$AA,24,FALSE))</f>
        <v xml:space="preserve"> </v>
      </c>
      <c r="H236" s="30" t="str">
        <f>IF(LEN(VLOOKUP($A236,Questions!$B:$AA,25,FALSE))=0,"",VLOOKUP($A236,Questions!$B:$AA,25,FALSE))</f>
        <v xml:space="preserve"> </v>
      </c>
      <c r="I236" s="222" t="str">
        <f>IF(LEN(VLOOKUP($A236,Questions!$B:$AA,26,FALSE))=0,"",VLOOKUP($A236,Questions!$B:$AA,26,FALSE))</f>
        <v xml:space="preserve"> </v>
      </c>
      <c r="J236" s="222" t="str">
        <f>IF(LEN(VLOOKUP($A236,Questions!$B:$AB,27,FALSE))=0,"",VLOOKUP($A236,Questions!$B:$AB,27,FALSE))</f>
        <v xml:space="preserve"> </v>
      </c>
      <c r="K236"/>
    </row>
    <row r="237" spans="1:11" ht="36" customHeight="1">
      <c r="A237" s="10" t="s">
        <v>462</v>
      </c>
      <c r="B237" s="23" t="str">
        <f>VLOOKUP(A237,'HECVAT - Full | Vendor Response'!A$27:B$284,2,FALSE)</f>
        <v>Describe or provide a reference to how you monitor for and protect against common web application security vulnerabilities (e.g., SQL injection, XSS, XSRF, etc.).</v>
      </c>
      <c r="C237" s="30" t="str">
        <f>IF(LEN(VLOOKUP($A237,Questions!$B:$AA,20,FALSE))=0,"",VLOOKUP($A237,Questions!$B:$AA,20,FALSE))</f>
        <v xml:space="preserve"> </v>
      </c>
      <c r="D237" s="32" t="str">
        <f>IF(LEN(VLOOKUP($A237,Questions!$B:$AA,21,FALSE))=0,"",VLOOKUP($A237,Questions!$B:$AA,21,FALSE))</f>
        <v xml:space="preserve"> </v>
      </c>
      <c r="E237" s="31" t="str">
        <f>IF(LEN(VLOOKUP($A237,Questions!$B:$AA,22,FALSE))=0,"",VLOOKUP($A237,Questions!$B:$AA,22,FALSE))</f>
        <v xml:space="preserve"> </v>
      </c>
      <c r="F237" s="30" t="str">
        <f>IF(LEN(VLOOKUP($A237,Questions!$B:$AA,23,FALSE))=0,"",VLOOKUP($A237,Questions!$B:$AA,23,FALSE))</f>
        <v xml:space="preserve"> </v>
      </c>
      <c r="G237" s="31" t="str">
        <f>IF(LEN(VLOOKUP($A237,Questions!$B:$AA,24,FALSE))=0,"",VLOOKUP($A237,Questions!$B:$AA,24,FALSE))</f>
        <v xml:space="preserve"> </v>
      </c>
      <c r="H237" s="30" t="str">
        <f>IF(LEN(VLOOKUP($A237,Questions!$B:$AA,25,FALSE))=0,"",VLOOKUP($A237,Questions!$B:$AA,25,FALSE))</f>
        <v xml:space="preserve"> </v>
      </c>
      <c r="I237" s="222" t="str">
        <f>IF(LEN(VLOOKUP($A237,Questions!$B:$AA,26,FALSE))=0,"",VLOOKUP($A237,Questions!$B:$AA,26,FALSE))</f>
        <v xml:space="preserve"> </v>
      </c>
      <c r="J237" s="222" t="str">
        <f>IF(LEN(VLOOKUP($A237,Questions!$B:$AB,27,FALSE))=0,"",VLOOKUP($A237,Questions!$B:$AB,27,FALSE))</f>
        <v xml:space="preserve"> </v>
      </c>
      <c r="K237"/>
    </row>
    <row r="238" spans="1:11" ht="65.25" customHeight="1">
      <c r="A238" s="10" t="s">
        <v>464</v>
      </c>
      <c r="B238" s="23" t="str">
        <f>VLOOKUP(A238,'HECVAT - Full | Vendor Response'!A$27:B$284,2,FALSE)</f>
        <v>Will you allow the institution to perform its own vulnerability testing and/or scanning of your systems and/or application, provided that testing is performed at a mutually agreed upon time and date?</v>
      </c>
      <c r="C238" s="30" t="str">
        <f>IF(LEN(VLOOKUP($A238,Questions!$B:$AA,20,FALSE))=0,"",VLOOKUP($A238,Questions!$B:$AA,20,FALSE))</f>
        <v xml:space="preserve"> </v>
      </c>
      <c r="D238" s="32" t="str">
        <f>IF(LEN(VLOOKUP($A238,Questions!$B:$AA,21,FALSE))=0,"",VLOOKUP($A238,Questions!$B:$AA,21,FALSE))</f>
        <v xml:space="preserve"> </v>
      </c>
      <c r="E238" s="31" t="str">
        <f>IF(LEN(VLOOKUP($A238,Questions!$B:$AA,22,FALSE))=0,"",VLOOKUP($A238,Questions!$B:$AA,22,FALSE))</f>
        <v xml:space="preserve"> </v>
      </c>
      <c r="F238" s="30" t="str">
        <f>IF(LEN(VLOOKUP($A238,Questions!$B:$AA,23,FALSE))=0,"",VLOOKUP($A238,Questions!$B:$AA,23,FALSE))</f>
        <v xml:space="preserve"> </v>
      </c>
      <c r="G238" s="30" t="str">
        <f>IF(LEN(VLOOKUP($A238,Questions!$B:$AA,24,FALSE))=0,"",VLOOKUP($A238,Questions!$B:$AA,24,FALSE))</f>
        <v xml:space="preserve"> </v>
      </c>
      <c r="H238" s="30" t="str">
        <f>IF(LEN(VLOOKUP($A238,Questions!$B:$AA,25,FALSE))=0,"",VLOOKUP($A238,Questions!$B:$AA,25,FALSE))</f>
        <v xml:space="preserve"> </v>
      </c>
      <c r="I238" s="222" t="str">
        <f>IF(LEN(VLOOKUP($A238,Questions!$B:$AA,26,FALSE))=0,"",VLOOKUP($A238,Questions!$B:$AA,26,FALSE))</f>
        <v xml:space="preserve"> </v>
      </c>
      <c r="J238" s="222" t="str">
        <f>IF(LEN(VLOOKUP($A238,Questions!$B:$AB,27,FALSE))=0,"",VLOOKUP($A238,Questions!$B:$AB,27,FALSE))</f>
        <v xml:space="preserve"> </v>
      </c>
      <c r="K238" s="238" t="s">
        <v>3325</v>
      </c>
    </row>
    <row r="239" spans="1:11" ht="36" customHeight="1">
      <c r="A239" s="283" t="str">
        <f>IF(OR($C$25="No",$C$31="Yes"),"HIPAA - Optional based on QUALIFIER response.","HIPAA")</f>
        <v>HIPAA</v>
      </c>
      <c r="B239" s="283"/>
      <c r="C239" s="18" t="str">
        <f>C$23</f>
        <v>CIS Critical Security Controls v6.1</v>
      </c>
      <c r="D239" s="18" t="str">
        <f t="shared" ref="D239:J239" si="17">D$23</f>
        <v>HIPAA</v>
      </c>
      <c r="E239" s="18" t="str">
        <f t="shared" si="17"/>
        <v>ISO 27002:27013</v>
      </c>
      <c r="F239" s="18" t="str">
        <f t="shared" si="17"/>
        <v>NIST Cybersecurity Framework</v>
      </c>
      <c r="G239" s="18" t="str">
        <f t="shared" si="17"/>
        <v>NIST SP 800-171r2</v>
      </c>
      <c r="H239" s="18" t="str">
        <f t="shared" si="17"/>
        <v>NIST SP 800-53r4</v>
      </c>
      <c r="I239" s="18" t="str">
        <f t="shared" si="17"/>
        <v>PCI DSS</v>
      </c>
      <c r="J239" s="18" t="str">
        <f t="shared" si="17"/>
        <v>Trusted CI</v>
      </c>
      <c r="K239"/>
    </row>
    <row r="240" spans="1:11" ht="65.25" customHeight="1">
      <c r="A240" s="10" t="s">
        <v>466</v>
      </c>
      <c r="B240" s="23" t="str">
        <f>VLOOKUP(A240,'HECVAT - Full | Vendor Response'!A$27:B$284,2,FALSE)</f>
        <v>Do your workforce members receive regular training related to the HIPAA Privacy and Security Rules and the HITECH Act?</v>
      </c>
      <c r="C240" s="30" t="str">
        <f>IF(LEN(VLOOKUP($A240,Questions!$B:$AA,20,FALSE))=0,"",VLOOKUP($A240,Questions!$B:$AA,20,FALSE))</f>
        <v xml:space="preserve"> </v>
      </c>
      <c r="D240" s="30" t="str">
        <f>IF(LEN(VLOOKUP($A240,Questions!$B:$AA,21,FALSE))=0,"",VLOOKUP($A240,Questions!$B:$AA,21,FALSE))</f>
        <v xml:space="preserve"> </v>
      </c>
      <c r="E240" s="30" t="str">
        <f>IF(LEN(VLOOKUP($A240,Questions!$B:$AA,22,FALSE))=0,"",VLOOKUP($A240,Questions!$B:$AA,22,FALSE))</f>
        <v xml:space="preserve"> </v>
      </c>
      <c r="F240" s="30" t="str">
        <f>IF(LEN(VLOOKUP($A240,Questions!$B:$AA,23,FALSE))=0,"",VLOOKUP($A240,Questions!$B:$AA,23,FALSE))</f>
        <v xml:space="preserve"> </v>
      </c>
      <c r="G240" s="30" t="str">
        <f>IF(LEN(VLOOKUP($A240,Questions!$B:$AA,24,FALSE))=0,"",VLOOKUP($A240,Questions!$B:$AA,24,FALSE))</f>
        <v xml:space="preserve"> </v>
      </c>
      <c r="H240" s="30" t="str">
        <f>IF(LEN(VLOOKUP($A240,Questions!$B:$AA,25,FALSE))=0,"",VLOOKUP($A240,Questions!$B:$AA,25,FALSE))</f>
        <v xml:space="preserve"> </v>
      </c>
      <c r="I240" s="31" t="str">
        <f>IF(LEN(VLOOKUP($A240,Questions!$B:$AA,26,FALSE))=0,"",VLOOKUP($A240,Questions!$B:$AA,26,FALSE))</f>
        <v xml:space="preserve"> </v>
      </c>
      <c r="J240" s="31" t="str">
        <f>IF(LEN(VLOOKUP($A240,Questions!$B:$AB,27,FALSE))=0,"",VLOOKUP($A240,Questions!$B:$AB,27,FALSE))</f>
        <v xml:space="preserve"> </v>
      </c>
      <c r="K240"/>
    </row>
    <row r="241" spans="1:11" ht="48" customHeight="1">
      <c r="A241" s="10" t="s">
        <v>468</v>
      </c>
      <c r="B241" s="23" t="str">
        <f>VLOOKUP(A241,'HECVAT - Full | Vendor Response'!A$27:B$284,2,FALSE)</f>
        <v>Do you monitor or receive information regarding changes in HIPAA regulations?</v>
      </c>
      <c r="C241" s="30" t="str">
        <f>IF(LEN(VLOOKUP($A241,Questions!$B:$AA,20,FALSE))=0,"",VLOOKUP($A241,Questions!$B:$AA,20,FALSE))</f>
        <v xml:space="preserve"> </v>
      </c>
      <c r="D241" s="30" t="str">
        <f>IF(LEN(VLOOKUP($A241,Questions!$B:$AA,21,FALSE))=0,"",VLOOKUP($A241,Questions!$B:$AA,21,FALSE))</f>
        <v xml:space="preserve"> </v>
      </c>
      <c r="E241" s="30" t="str">
        <f>IF(LEN(VLOOKUP($A241,Questions!$B:$AA,22,FALSE))=0,"",VLOOKUP($A241,Questions!$B:$AA,22,FALSE))</f>
        <v xml:space="preserve"> </v>
      </c>
      <c r="F241" s="30" t="str">
        <f>IF(LEN(VLOOKUP($A241,Questions!$B:$AA,23,FALSE))=0,"",VLOOKUP($A241,Questions!$B:$AA,23,FALSE))</f>
        <v xml:space="preserve"> </v>
      </c>
      <c r="G241" s="31" t="str">
        <f>IF(LEN(VLOOKUP($A241,Questions!$B:$AA,24,FALSE))=0,"",VLOOKUP($A241,Questions!$B:$AA,24,FALSE))</f>
        <v xml:space="preserve"> </v>
      </c>
      <c r="H241" s="31" t="str">
        <f>IF(LEN(VLOOKUP($A241,Questions!$B:$AA,25,FALSE))=0,"",VLOOKUP($A241,Questions!$B:$AA,25,FALSE))</f>
        <v xml:space="preserve"> </v>
      </c>
      <c r="I241" s="31" t="str">
        <f>IF(LEN(VLOOKUP($A241,Questions!$B:$AA,26,FALSE))=0,"",VLOOKUP($A241,Questions!$B:$AA,26,FALSE))</f>
        <v xml:space="preserve"> </v>
      </c>
      <c r="J241" s="31" t="str">
        <f>IF(LEN(VLOOKUP($A241,Questions!$B:$AB,27,FALSE))=0,"",VLOOKUP($A241,Questions!$B:$AB,27,FALSE))</f>
        <v xml:space="preserve"> </v>
      </c>
      <c r="K241"/>
    </row>
    <row r="242" spans="1:11" ht="48" customHeight="1">
      <c r="A242" s="10" t="s">
        <v>469</v>
      </c>
      <c r="B242" s="23" t="str">
        <f>VLOOKUP(A242,'HECVAT - Full | Vendor Response'!A$27:B$284,2,FALSE)</f>
        <v>Has your organization designated HIPAA Privacy and Security officers as required by the rules?</v>
      </c>
      <c r="C242" s="30" t="str">
        <f>IF(LEN(VLOOKUP($A242,Questions!$B:$AA,20,FALSE))=0,"",VLOOKUP($A242,Questions!$B:$AA,20,FALSE))</f>
        <v xml:space="preserve"> </v>
      </c>
      <c r="D242" s="30" t="str">
        <f>IF(LEN(VLOOKUP($A242,Questions!$B:$AA,21,FALSE))=0,"",VLOOKUP($A242,Questions!$B:$AA,21,FALSE))</f>
        <v xml:space="preserve"> </v>
      </c>
      <c r="E242" s="30" t="str">
        <f>IF(LEN(VLOOKUP($A242,Questions!$B:$AA,22,FALSE))=0,"",VLOOKUP($A242,Questions!$B:$AA,22,FALSE))</f>
        <v xml:space="preserve"> </v>
      </c>
      <c r="F242" s="30" t="str">
        <f>IF(LEN(VLOOKUP($A242,Questions!$B:$AA,23,FALSE))=0,"",VLOOKUP($A242,Questions!$B:$AA,23,FALSE))</f>
        <v xml:space="preserve"> </v>
      </c>
      <c r="G242" s="31" t="str">
        <f>IF(LEN(VLOOKUP($A242,Questions!$B:$AA,24,FALSE))=0,"",VLOOKUP($A242,Questions!$B:$AA,24,FALSE))</f>
        <v xml:space="preserve"> </v>
      </c>
      <c r="H242" s="31" t="str">
        <f>IF(LEN(VLOOKUP($A242,Questions!$B:$AA,25,FALSE))=0,"",VLOOKUP($A242,Questions!$B:$AA,25,FALSE))</f>
        <v xml:space="preserve"> </v>
      </c>
      <c r="I242" s="31" t="str">
        <f>IF(LEN(VLOOKUP($A242,Questions!$B:$AA,26,FALSE))=0,"",VLOOKUP($A242,Questions!$B:$AA,26,FALSE))</f>
        <v xml:space="preserve"> </v>
      </c>
      <c r="J242" s="31" t="str">
        <f>IF(LEN(VLOOKUP($A242,Questions!$B:$AB,27,FALSE))=0,"",VLOOKUP($A242,Questions!$B:$AB,27,FALSE))</f>
        <v xml:space="preserve"> </v>
      </c>
      <c r="K242"/>
    </row>
    <row r="243" spans="1:11" ht="48" customHeight="1">
      <c r="A243" s="10" t="s">
        <v>470</v>
      </c>
      <c r="B243" s="23" t="str">
        <f>VLOOKUP(A243,'HECVAT - Full | Vendor Response'!A$27:B$284,2,FALSE)</f>
        <v>Do you comply with the requirements of the Health Information Technology for Economic and Clinical Health Act (HITECH)?</v>
      </c>
      <c r="C243" s="30" t="str">
        <f>IF(LEN(VLOOKUP($A243,Questions!$B:$AA,20,FALSE))=0,"",VLOOKUP($A243,Questions!$B:$AA,20,FALSE))</f>
        <v xml:space="preserve"> </v>
      </c>
      <c r="D243" s="31" t="str">
        <f>IF(LEN(VLOOKUP($A243,Questions!$B:$AA,21,FALSE))=0,"",VLOOKUP($A243,Questions!$B:$AA,21,FALSE))</f>
        <v xml:space="preserve"> </v>
      </c>
      <c r="E243" s="30" t="str">
        <f>IF(LEN(VLOOKUP($A243,Questions!$B:$AA,22,FALSE))=0,"",VLOOKUP($A243,Questions!$B:$AA,22,FALSE))</f>
        <v xml:space="preserve"> </v>
      </c>
      <c r="F243" s="30" t="str">
        <f>IF(LEN(VLOOKUP($A243,Questions!$B:$AA,23,FALSE))=0,"",VLOOKUP($A243,Questions!$B:$AA,23,FALSE))</f>
        <v xml:space="preserve"> </v>
      </c>
      <c r="G243" s="31" t="str">
        <f>IF(LEN(VLOOKUP($A243,Questions!$B:$AA,24,FALSE))=0,"",VLOOKUP($A243,Questions!$B:$AA,24,FALSE))</f>
        <v xml:space="preserve"> </v>
      </c>
      <c r="H243" s="31" t="str">
        <f>IF(LEN(VLOOKUP($A243,Questions!$B:$AA,25,FALSE))=0,"",VLOOKUP($A243,Questions!$B:$AA,25,FALSE))</f>
        <v xml:space="preserve"> </v>
      </c>
      <c r="I243" s="31" t="str">
        <f>IF(LEN(VLOOKUP($A243,Questions!$B:$AA,26,FALSE))=0,"",VLOOKUP($A243,Questions!$B:$AA,26,FALSE))</f>
        <v xml:space="preserve"> </v>
      </c>
      <c r="J243" s="31" t="str">
        <f>IF(LEN(VLOOKUP($A243,Questions!$B:$AB,27,FALSE))=0,"",VLOOKUP($A243,Questions!$B:$AB,27,FALSE))</f>
        <v xml:space="preserve"> </v>
      </c>
      <c r="K243"/>
    </row>
    <row r="244" spans="1:11" ht="48" customHeight="1">
      <c r="A244" s="10" t="s">
        <v>471</v>
      </c>
      <c r="B244" s="23" t="str">
        <f>VLOOKUP(A244,'HECVAT - Full | Vendor Response'!A$27:B$284,2,FALSE)</f>
        <v>Have you conducted a risk analysis as required under the Security Rule?</v>
      </c>
      <c r="C244" s="30" t="str">
        <f>IF(LEN(VLOOKUP($A244,Questions!$B:$AA,20,FALSE))=0,"",VLOOKUP($A244,Questions!$B:$AA,20,FALSE))</f>
        <v xml:space="preserve"> </v>
      </c>
      <c r="D244" s="30" t="str">
        <f>IF(LEN(VLOOKUP($A244,Questions!$B:$AA,21,FALSE))=0,"",VLOOKUP($A244,Questions!$B:$AA,21,FALSE))</f>
        <v xml:space="preserve"> </v>
      </c>
      <c r="E244" s="30" t="str">
        <f>IF(LEN(VLOOKUP($A244,Questions!$B:$AA,22,FALSE))=0,"",VLOOKUP($A244,Questions!$B:$AA,22,FALSE))</f>
        <v xml:space="preserve"> </v>
      </c>
      <c r="F244" s="30" t="str">
        <f>IF(LEN(VLOOKUP($A244,Questions!$B:$AA,23,FALSE))=0,"",VLOOKUP($A244,Questions!$B:$AA,23,FALSE))</f>
        <v xml:space="preserve"> </v>
      </c>
      <c r="G244" s="30" t="str">
        <f>IF(LEN(VLOOKUP($A244,Questions!$B:$AA,24,FALSE))=0,"",VLOOKUP($A244,Questions!$B:$AA,24,FALSE))</f>
        <v xml:space="preserve"> </v>
      </c>
      <c r="H244" s="30" t="str">
        <f>IF(LEN(VLOOKUP($A244,Questions!$B:$AA,25,FALSE))=0,"",VLOOKUP($A244,Questions!$B:$AA,25,FALSE))</f>
        <v xml:space="preserve"> </v>
      </c>
      <c r="I244" s="30" t="str">
        <f>IF(LEN(VLOOKUP($A244,Questions!$B:$AA,26,FALSE))=0,"",VLOOKUP($A244,Questions!$B:$AA,26,FALSE))</f>
        <v xml:space="preserve"> </v>
      </c>
      <c r="J244" s="30" t="str">
        <f>IF(LEN(VLOOKUP($A244,Questions!$B:$AB,27,FALSE))=0,"",VLOOKUP($A244,Questions!$B:$AB,27,FALSE))</f>
        <v xml:space="preserve"> </v>
      </c>
      <c r="K244"/>
    </row>
    <row r="245" spans="1:11" ht="48" customHeight="1">
      <c r="A245" s="10" t="s">
        <v>472</v>
      </c>
      <c r="B245" s="23" t="str">
        <f>VLOOKUP(A245,'HECVAT - Full | Vendor Response'!A$27:B$284,2,FALSE)</f>
        <v>Have you identified areas of risks?</v>
      </c>
      <c r="C245" s="30" t="str">
        <f>IF(LEN(VLOOKUP($A245,Questions!$B:$AA,20,FALSE))=0,"",VLOOKUP($A245,Questions!$B:$AA,20,FALSE))</f>
        <v xml:space="preserve"> </v>
      </c>
      <c r="D245" s="30" t="str">
        <f>IF(LEN(VLOOKUP($A245,Questions!$B:$AA,21,FALSE))=0,"",VLOOKUP($A245,Questions!$B:$AA,21,FALSE))</f>
        <v xml:space="preserve"> </v>
      </c>
      <c r="E245" s="30" t="str">
        <f>IF(LEN(VLOOKUP($A245,Questions!$B:$AA,22,FALSE))=0,"",VLOOKUP($A245,Questions!$B:$AA,22,FALSE))</f>
        <v xml:space="preserve"> </v>
      </c>
      <c r="F245" s="30" t="str">
        <f>IF(LEN(VLOOKUP($A245,Questions!$B:$AA,23,FALSE))=0,"",VLOOKUP($A245,Questions!$B:$AA,23,FALSE))</f>
        <v xml:space="preserve"> </v>
      </c>
      <c r="G245" s="30" t="str">
        <f>IF(LEN(VLOOKUP($A245,Questions!$B:$AA,24,FALSE))=0,"",VLOOKUP($A245,Questions!$B:$AA,24,FALSE))</f>
        <v xml:space="preserve"> </v>
      </c>
      <c r="H245" s="30" t="str">
        <f>IF(LEN(VLOOKUP($A245,Questions!$B:$AA,25,FALSE))=0,"",VLOOKUP($A245,Questions!$B:$AA,25,FALSE))</f>
        <v xml:space="preserve"> </v>
      </c>
      <c r="I245" s="30" t="str">
        <f>IF(LEN(VLOOKUP($A245,Questions!$B:$AA,26,FALSE))=0,"",VLOOKUP($A245,Questions!$B:$AA,26,FALSE))</f>
        <v xml:space="preserve"> </v>
      </c>
      <c r="J245" s="30" t="str">
        <f>IF(LEN(VLOOKUP($A245,Questions!$B:$AB,27,FALSE))=0,"",VLOOKUP($A245,Questions!$B:$AB,27,FALSE))</f>
        <v xml:space="preserve"> </v>
      </c>
      <c r="K245"/>
    </row>
    <row r="246" spans="1:11" ht="48" customHeight="1">
      <c r="A246" s="10" t="s">
        <v>473</v>
      </c>
      <c r="B246" s="23" t="str">
        <f>VLOOKUP(A246,'HECVAT - Full | Vendor Response'!A$27:B$284,2,FALSE)</f>
        <v>Have you taken actions to mitigate the identified risks?</v>
      </c>
      <c r="C246" s="30" t="str">
        <f>IF(LEN(VLOOKUP($A246,Questions!$B:$AA,20,FALSE))=0,"",VLOOKUP($A246,Questions!$B:$AA,20,FALSE))</f>
        <v xml:space="preserve"> </v>
      </c>
      <c r="D246" s="30" t="str">
        <f>IF(LEN(VLOOKUP($A246,Questions!$B:$AA,21,FALSE))=0,"",VLOOKUP($A246,Questions!$B:$AA,21,FALSE))</f>
        <v xml:space="preserve"> </v>
      </c>
      <c r="E246" s="31" t="str">
        <f>IF(LEN(VLOOKUP($A246,Questions!$B:$AA,22,FALSE))=0,"",VLOOKUP($A246,Questions!$B:$AA,22,FALSE))</f>
        <v xml:space="preserve"> </v>
      </c>
      <c r="F246" s="30" t="str">
        <f>IF(LEN(VLOOKUP($A246,Questions!$B:$AA,23,FALSE))=0,"",VLOOKUP($A246,Questions!$B:$AA,23,FALSE))</f>
        <v xml:space="preserve"> </v>
      </c>
      <c r="G246" s="31" t="str">
        <f>IF(LEN(VLOOKUP($A246,Questions!$B:$AA,24,FALSE))=0,"",VLOOKUP($A246,Questions!$B:$AA,24,FALSE))</f>
        <v xml:space="preserve"> </v>
      </c>
      <c r="H246" s="31" t="str">
        <f>IF(LEN(VLOOKUP($A246,Questions!$B:$AA,25,FALSE))=0,"",VLOOKUP($A246,Questions!$B:$AA,25,FALSE))</f>
        <v xml:space="preserve"> </v>
      </c>
      <c r="I246" s="30" t="str">
        <f>IF(LEN(VLOOKUP($A246,Questions!$B:$AA,26,FALSE))=0,"",VLOOKUP($A246,Questions!$B:$AA,26,FALSE))</f>
        <v xml:space="preserve"> </v>
      </c>
      <c r="J246" s="30" t="str">
        <f>IF(LEN(VLOOKUP($A246,Questions!$B:$AB,27,FALSE))=0,"",VLOOKUP($A246,Questions!$B:$AB,27,FALSE))</f>
        <v xml:space="preserve"> </v>
      </c>
      <c r="K246"/>
    </row>
    <row r="247" spans="1:11" ht="48" customHeight="1">
      <c r="A247" s="10" t="s">
        <v>474</v>
      </c>
      <c r="B247" s="23" t="str">
        <f>VLOOKUP(A247,'HECVAT - Full | Vendor Response'!A$27:B$284,2,FALSE)</f>
        <v>Does your application require user and system administrator password changes at a frequency no greater than 90 days?</v>
      </c>
      <c r="C247" s="30" t="str">
        <f>IF(LEN(VLOOKUP($A247,Questions!$B:$AA,20,FALSE))=0,"",VLOOKUP($A247,Questions!$B:$AA,20,FALSE))</f>
        <v xml:space="preserve"> </v>
      </c>
      <c r="D247" s="30" t="str">
        <f>IF(LEN(VLOOKUP($A247,Questions!$B:$AA,21,FALSE))=0,"",VLOOKUP($A247,Questions!$B:$AA,21,FALSE))</f>
        <v xml:space="preserve"> </v>
      </c>
      <c r="E247" s="31" t="str">
        <f>IF(LEN(VLOOKUP($A247,Questions!$B:$AA,22,FALSE))=0,"",VLOOKUP($A247,Questions!$B:$AA,22,FALSE))</f>
        <v xml:space="preserve"> </v>
      </c>
      <c r="F247" s="30" t="str">
        <f>IF(LEN(VLOOKUP($A247,Questions!$B:$AA,23,FALSE))=0,"",VLOOKUP($A247,Questions!$B:$AA,23,FALSE))</f>
        <v xml:space="preserve"> </v>
      </c>
      <c r="G247" s="31" t="str">
        <f>IF(LEN(VLOOKUP($A247,Questions!$B:$AA,24,FALSE))=0,"",VLOOKUP($A247,Questions!$B:$AA,24,FALSE))</f>
        <v xml:space="preserve"> </v>
      </c>
      <c r="H247" s="31" t="str">
        <f>IF(LEN(VLOOKUP($A247,Questions!$B:$AA,25,FALSE))=0,"",VLOOKUP($A247,Questions!$B:$AA,25,FALSE))</f>
        <v xml:space="preserve"> </v>
      </c>
      <c r="I247" s="30" t="str">
        <f>IF(LEN(VLOOKUP($A247,Questions!$B:$AA,26,FALSE))=0,"",VLOOKUP($A247,Questions!$B:$AA,26,FALSE))</f>
        <v xml:space="preserve"> </v>
      </c>
      <c r="J247" s="30" t="str">
        <f>IF(LEN(VLOOKUP($A247,Questions!$B:$AB,27,FALSE))=0,"",VLOOKUP($A247,Questions!$B:$AB,27,FALSE))</f>
        <v xml:space="preserve"> </v>
      </c>
      <c r="K247"/>
    </row>
    <row r="248" spans="1:11" ht="48" customHeight="1">
      <c r="A248" s="10" t="s">
        <v>475</v>
      </c>
      <c r="B248" s="23" t="str">
        <f>VLOOKUP(A248,'HECVAT - Full | Vendor Response'!A$27:B$284,2,FALSE)</f>
        <v>Does your application require users to set their own password after an administrator reset or on first use of the account?</v>
      </c>
      <c r="C248" s="30" t="str">
        <f>IF(LEN(VLOOKUP($A248,Questions!$B:$AA,20,FALSE))=0,"",VLOOKUP($A248,Questions!$B:$AA,20,FALSE))</f>
        <v xml:space="preserve"> </v>
      </c>
      <c r="D248" s="30" t="str">
        <f>IF(LEN(VLOOKUP($A248,Questions!$B:$AA,21,FALSE))=0,"",VLOOKUP($A248,Questions!$B:$AA,21,FALSE))</f>
        <v xml:space="preserve"> </v>
      </c>
      <c r="E248" s="31" t="str">
        <f>IF(LEN(VLOOKUP($A248,Questions!$B:$AA,22,FALSE))=0,"",VLOOKUP($A248,Questions!$B:$AA,22,FALSE))</f>
        <v xml:space="preserve"> </v>
      </c>
      <c r="F248" s="30" t="str">
        <f>IF(LEN(VLOOKUP($A248,Questions!$B:$AA,23,FALSE))=0,"",VLOOKUP($A248,Questions!$B:$AA,23,FALSE))</f>
        <v xml:space="preserve"> </v>
      </c>
      <c r="G248" s="31" t="str">
        <f>IF(LEN(VLOOKUP($A248,Questions!$B:$AA,24,FALSE))=0,"",VLOOKUP($A248,Questions!$B:$AA,24,FALSE))</f>
        <v xml:space="preserve"> </v>
      </c>
      <c r="H248" s="31" t="str">
        <f>IF(LEN(VLOOKUP($A248,Questions!$B:$AA,25,FALSE))=0,"",VLOOKUP($A248,Questions!$B:$AA,25,FALSE))</f>
        <v xml:space="preserve"> </v>
      </c>
      <c r="I248" s="30" t="str">
        <f>IF(LEN(VLOOKUP($A248,Questions!$B:$AA,26,FALSE))=0,"",VLOOKUP($A248,Questions!$B:$AA,26,FALSE))</f>
        <v xml:space="preserve"> </v>
      </c>
      <c r="J248" s="30" t="str">
        <f>IF(LEN(VLOOKUP($A248,Questions!$B:$AB,27,FALSE))=0,"",VLOOKUP($A248,Questions!$B:$AB,27,FALSE))</f>
        <v xml:space="preserve"> </v>
      </c>
      <c r="K248"/>
    </row>
    <row r="249" spans="1:11" ht="48" customHeight="1">
      <c r="A249" s="10" t="s">
        <v>476</v>
      </c>
      <c r="B249" s="23" t="str">
        <f>VLOOKUP(A249,'HECVAT - Full | Vendor Response'!A$27:B$284,2,FALSE)</f>
        <v xml:space="preserve">Does your application lock out an account after a number of failed login attempts? </v>
      </c>
      <c r="C249" s="30" t="str">
        <f>IF(LEN(VLOOKUP($A249,Questions!$B:$AA,20,FALSE))=0,"",VLOOKUP($A249,Questions!$B:$AA,20,FALSE))</f>
        <v xml:space="preserve"> </v>
      </c>
      <c r="D249" s="30" t="str">
        <f>IF(LEN(VLOOKUP($A249,Questions!$B:$AA,21,FALSE))=0,"",VLOOKUP($A249,Questions!$B:$AA,21,FALSE))</f>
        <v xml:space="preserve"> </v>
      </c>
      <c r="E249" s="30" t="str">
        <f>IF(LEN(VLOOKUP($A249,Questions!$B:$AA,22,FALSE))=0,"",VLOOKUP($A249,Questions!$B:$AA,22,FALSE))</f>
        <v xml:space="preserve"> </v>
      </c>
      <c r="F249" s="30" t="str">
        <f>IF(LEN(VLOOKUP($A249,Questions!$B:$AA,23,FALSE))=0,"",VLOOKUP($A249,Questions!$B:$AA,23,FALSE))</f>
        <v xml:space="preserve"> </v>
      </c>
      <c r="G249" s="30" t="str">
        <f>IF(LEN(VLOOKUP($A249,Questions!$B:$AA,24,FALSE))=0,"",VLOOKUP($A249,Questions!$B:$AA,24,FALSE))</f>
        <v xml:space="preserve"> </v>
      </c>
      <c r="H249" s="30" t="str">
        <f>IF(LEN(VLOOKUP($A249,Questions!$B:$AA,25,FALSE))=0,"",VLOOKUP($A249,Questions!$B:$AA,25,FALSE))</f>
        <v xml:space="preserve"> </v>
      </c>
      <c r="I249" s="31" t="str">
        <f>IF(LEN(VLOOKUP($A249,Questions!$B:$AA,26,FALSE))=0,"",VLOOKUP($A249,Questions!$B:$AA,26,FALSE))</f>
        <v xml:space="preserve"> </v>
      </c>
      <c r="J249" s="31" t="str">
        <f>IF(LEN(VLOOKUP($A249,Questions!$B:$AB,27,FALSE))=0,"",VLOOKUP($A249,Questions!$B:$AB,27,FALSE))</f>
        <v xml:space="preserve"> </v>
      </c>
      <c r="K249"/>
    </row>
    <row r="250" spans="1:11" ht="48" customHeight="1">
      <c r="A250" s="10" t="s">
        <v>477</v>
      </c>
      <c r="B250" s="23" t="str">
        <f>VLOOKUP(A250,'HECVAT - Full | Vendor Response'!A$27:B$284,2,FALSE)</f>
        <v>Does your application automatically lock or log-out an account after a period of inactivity?</v>
      </c>
      <c r="C250" s="30" t="str">
        <f>IF(LEN(VLOOKUP($A250,Questions!$B:$AA,20,FALSE))=0,"",VLOOKUP($A250,Questions!$B:$AA,20,FALSE))</f>
        <v xml:space="preserve"> </v>
      </c>
      <c r="D250" s="30" t="str">
        <f>IF(LEN(VLOOKUP($A250,Questions!$B:$AA,21,FALSE))=0,"",VLOOKUP($A250,Questions!$B:$AA,21,FALSE))</f>
        <v xml:space="preserve"> </v>
      </c>
      <c r="E250" s="30" t="str">
        <f>IF(LEN(VLOOKUP($A250,Questions!$B:$AA,22,FALSE))=0,"",VLOOKUP($A250,Questions!$B:$AA,22,FALSE))</f>
        <v xml:space="preserve"> </v>
      </c>
      <c r="F250" s="30" t="str">
        <f>IF(LEN(VLOOKUP($A250,Questions!$B:$AA,23,FALSE))=0,"",VLOOKUP($A250,Questions!$B:$AA,23,FALSE))</f>
        <v xml:space="preserve"> </v>
      </c>
      <c r="G250" s="30" t="str">
        <f>IF(LEN(VLOOKUP($A250,Questions!$B:$AA,24,FALSE))=0,"",VLOOKUP($A250,Questions!$B:$AA,24,FALSE))</f>
        <v xml:space="preserve"> </v>
      </c>
      <c r="H250" s="30" t="str">
        <f>IF(LEN(VLOOKUP($A250,Questions!$B:$AA,25,FALSE))=0,"",VLOOKUP($A250,Questions!$B:$AA,25,FALSE))</f>
        <v xml:space="preserve"> </v>
      </c>
      <c r="I250" s="31" t="str">
        <f>IF(LEN(VLOOKUP($A250,Questions!$B:$AA,26,FALSE))=0,"",VLOOKUP($A250,Questions!$B:$AA,26,FALSE))</f>
        <v xml:space="preserve"> </v>
      </c>
      <c r="J250" s="31" t="str">
        <f>IF(LEN(VLOOKUP($A250,Questions!$B:$AB,27,FALSE))=0,"",VLOOKUP($A250,Questions!$B:$AB,27,FALSE))</f>
        <v xml:space="preserve"> </v>
      </c>
      <c r="K250"/>
    </row>
    <row r="251" spans="1:11" ht="48" customHeight="1">
      <c r="A251" s="10" t="s">
        <v>478</v>
      </c>
      <c r="B251" s="23" t="str">
        <f>VLOOKUP(A251,'HECVAT - Full | Vendor Response'!A$27:B$284,2,FALSE)</f>
        <v>Are passwords visible in plain text, whether when stored or entered, including service level accounts (i.e., database accounts, etc.)?</v>
      </c>
      <c r="C251" s="30" t="str">
        <f>IF(LEN(VLOOKUP($A251,Questions!$B:$AA,20,FALSE))=0,"",VLOOKUP($A251,Questions!$B:$AA,20,FALSE))</f>
        <v xml:space="preserve"> </v>
      </c>
      <c r="D251" s="30" t="str">
        <f>IF(LEN(VLOOKUP($A251,Questions!$B:$AA,21,FALSE))=0,"",VLOOKUP($A251,Questions!$B:$AA,21,FALSE))</f>
        <v xml:space="preserve"> </v>
      </c>
      <c r="E251" s="30" t="str">
        <f>IF(LEN(VLOOKUP($A251,Questions!$B:$AA,22,FALSE))=0,"",VLOOKUP($A251,Questions!$B:$AA,22,FALSE))</f>
        <v xml:space="preserve"> </v>
      </c>
      <c r="F251" s="30" t="str">
        <f>IF(LEN(VLOOKUP($A251,Questions!$B:$AA,23,FALSE))=0,"",VLOOKUP($A251,Questions!$B:$AA,23,FALSE))</f>
        <v xml:space="preserve"> </v>
      </c>
      <c r="G251" s="30" t="str">
        <f>IF(LEN(VLOOKUP($A251,Questions!$B:$AA,24,FALSE))=0,"",VLOOKUP($A251,Questions!$B:$AA,24,FALSE))</f>
        <v xml:space="preserve"> </v>
      </c>
      <c r="H251" s="30" t="str">
        <f>IF(LEN(VLOOKUP($A251,Questions!$B:$AA,25,FALSE))=0,"",VLOOKUP($A251,Questions!$B:$AA,25,FALSE))</f>
        <v xml:space="preserve"> </v>
      </c>
      <c r="I251" s="31" t="str">
        <f>IF(LEN(VLOOKUP($A251,Questions!$B:$AA,26,FALSE))=0,"",VLOOKUP($A251,Questions!$B:$AA,26,FALSE))</f>
        <v xml:space="preserve"> </v>
      </c>
      <c r="J251" s="31" t="str">
        <f>IF(LEN(VLOOKUP($A251,Questions!$B:$AB,27,FALSE))=0,"",VLOOKUP($A251,Questions!$B:$AB,27,FALSE))</f>
        <v xml:space="preserve"> </v>
      </c>
      <c r="K251"/>
    </row>
    <row r="252" spans="1:11" ht="48" customHeight="1">
      <c r="A252" s="10" t="s">
        <v>479</v>
      </c>
      <c r="B252" s="23" t="str">
        <f>VLOOKUP(A252,'HECVAT - Full | Vendor Response'!A$27:B$284,2,FALSE)</f>
        <v>If the application is institution-hosted, can all service level and administrative account passwords be changed by the institution?</v>
      </c>
      <c r="C252" s="30" t="str">
        <f>IF(LEN(VLOOKUP($A252,Questions!$B:$AA,20,FALSE))=0,"",VLOOKUP($A252,Questions!$B:$AA,20,FALSE))</f>
        <v xml:space="preserve"> </v>
      </c>
      <c r="D252" s="30" t="str">
        <f>IF(LEN(VLOOKUP($A252,Questions!$B:$AA,21,FALSE))=0,"",VLOOKUP($A252,Questions!$B:$AA,21,FALSE))</f>
        <v xml:space="preserve"> </v>
      </c>
      <c r="E252" s="30" t="str">
        <f>IF(LEN(VLOOKUP($A252,Questions!$B:$AA,22,FALSE))=0,"",VLOOKUP($A252,Questions!$B:$AA,22,FALSE))</f>
        <v xml:space="preserve"> </v>
      </c>
      <c r="F252" s="30" t="str">
        <f>IF(LEN(VLOOKUP($A252,Questions!$B:$AA,23,FALSE))=0,"",VLOOKUP($A252,Questions!$B:$AA,23,FALSE))</f>
        <v xml:space="preserve"> </v>
      </c>
      <c r="G252" s="30" t="str">
        <f>IF(LEN(VLOOKUP($A252,Questions!$B:$AA,24,FALSE))=0,"",VLOOKUP($A252,Questions!$B:$AA,24,FALSE))</f>
        <v xml:space="preserve"> </v>
      </c>
      <c r="H252" s="30" t="str">
        <f>IF(LEN(VLOOKUP($A252,Questions!$B:$AA,25,FALSE))=0,"",VLOOKUP($A252,Questions!$B:$AA,25,FALSE))</f>
        <v xml:space="preserve"> </v>
      </c>
      <c r="I252" s="30" t="str">
        <f>IF(LEN(VLOOKUP($A252,Questions!$B:$AA,26,FALSE))=0,"",VLOOKUP($A252,Questions!$B:$AA,26,FALSE))</f>
        <v xml:space="preserve"> </v>
      </c>
      <c r="J252" s="30" t="str">
        <f>IF(LEN(VLOOKUP($A252,Questions!$B:$AB,27,FALSE))=0,"",VLOOKUP($A252,Questions!$B:$AB,27,FALSE))</f>
        <v xml:space="preserve"> </v>
      </c>
      <c r="K252"/>
    </row>
    <row r="253" spans="1:11" ht="48" customHeight="1">
      <c r="A253" s="10" t="s">
        <v>480</v>
      </c>
      <c r="B253" s="23" t="str">
        <f>VLOOKUP(A253,'HECVAT - Full | Vendor Response'!A$27:B$284,2,FALSE)</f>
        <v>Does your application provide the ability to define user access levels?</v>
      </c>
      <c r="C253" s="30" t="str">
        <f>IF(LEN(VLOOKUP($A253,Questions!$B:$AA,20,FALSE))=0,"",VLOOKUP($A253,Questions!$B:$AA,20,FALSE))</f>
        <v xml:space="preserve"> </v>
      </c>
      <c r="D253" s="30" t="str">
        <f>IF(LEN(VLOOKUP($A253,Questions!$B:$AA,21,FALSE))=0,"",VLOOKUP($A253,Questions!$B:$AA,21,FALSE))</f>
        <v xml:space="preserve"> </v>
      </c>
      <c r="E253" s="30" t="str">
        <f>IF(LEN(VLOOKUP($A253,Questions!$B:$AA,22,FALSE))=0,"",VLOOKUP($A253,Questions!$B:$AA,22,FALSE))</f>
        <v xml:space="preserve"> </v>
      </c>
      <c r="F253" s="30" t="str">
        <f>IF(LEN(VLOOKUP($A253,Questions!$B:$AA,23,FALSE))=0,"",VLOOKUP($A253,Questions!$B:$AA,23,FALSE))</f>
        <v xml:space="preserve"> </v>
      </c>
      <c r="G253" s="30" t="str">
        <f>IF(LEN(VLOOKUP($A253,Questions!$B:$AA,24,FALSE))=0,"",VLOOKUP($A253,Questions!$B:$AA,24,FALSE))</f>
        <v xml:space="preserve"> </v>
      </c>
      <c r="H253" s="30" t="str">
        <f>IF(LEN(VLOOKUP($A253,Questions!$B:$AA,25,FALSE))=0,"",VLOOKUP($A253,Questions!$B:$AA,25,FALSE))</f>
        <v xml:space="preserve"> </v>
      </c>
      <c r="I253" s="30" t="str">
        <f>IF(LEN(VLOOKUP($A253,Questions!$B:$AA,26,FALSE))=0,"",VLOOKUP($A253,Questions!$B:$AA,26,FALSE))</f>
        <v xml:space="preserve"> </v>
      </c>
      <c r="J253" s="30" t="str">
        <f>IF(LEN(VLOOKUP($A253,Questions!$B:$AB,27,FALSE))=0,"",VLOOKUP($A253,Questions!$B:$AB,27,FALSE))</f>
        <v xml:space="preserve"> </v>
      </c>
      <c r="K253"/>
    </row>
    <row r="254" spans="1:11" ht="48" customHeight="1">
      <c r="A254" s="10" t="s">
        <v>481</v>
      </c>
      <c r="B254" s="23" t="str">
        <f>VLOOKUP(A254,'HECVAT - Full | Vendor Response'!A$27:B$284,2,FALSE)</f>
        <v>Does your application support varying levels of access to administrative tasks defined individually per user?</v>
      </c>
      <c r="C254" s="30" t="str">
        <f>IF(LEN(VLOOKUP($A254,Questions!$B:$AA,20,FALSE))=0,"",VLOOKUP($A254,Questions!$B:$AA,20,FALSE))</f>
        <v xml:space="preserve"> </v>
      </c>
      <c r="D254" s="30" t="str">
        <f>IF(LEN(VLOOKUP($A254,Questions!$B:$AA,21,FALSE))=0,"",VLOOKUP($A254,Questions!$B:$AA,21,FALSE))</f>
        <v xml:space="preserve"> </v>
      </c>
      <c r="E254" s="31" t="str">
        <f>IF(LEN(VLOOKUP($A254,Questions!$B:$AA,22,FALSE))=0,"",VLOOKUP($A254,Questions!$B:$AA,22,FALSE))</f>
        <v xml:space="preserve"> </v>
      </c>
      <c r="F254" s="30" t="str">
        <f>IF(LEN(VLOOKUP($A254,Questions!$B:$AA,23,FALSE))=0,"",VLOOKUP($A254,Questions!$B:$AA,23,FALSE))</f>
        <v xml:space="preserve"> </v>
      </c>
      <c r="G254" s="31" t="str">
        <f>IF(LEN(VLOOKUP($A254,Questions!$B:$AA,24,FALSE))=0,"",VLOOKUP($A254,Questions!$B:$AA,24,FALSE))</f>
        <v xml:space="preserve"> </v>
      </c>
      <c r="H254" s="31" t="str">
        <f>IF(LEN(VLOOKUP($A254,Questions!$B:$AA,25,FALSE))=0,"",VLOOKUP($A254,Questions!$B:$AA,25,FALSE))</f>
        <v xml:space="preserve"> </v>
      </c>
      <c r="I254" s="30" t="str">
        <f>IF(LEN(VLOOKUP($A254,Questions!$B:$AA,26,FALSE))=0,"",VLOOKUP($A254,Questions!$B:$AA,26,FALSE))</f>
        <v xml:space="preserve"> </v>
      </c>
      <c r="J254" s="30" t="str">
        <f>IF(LEN(VLOOKUP($A254,Questions!$B:$AB,27,FALSE))=0,"",VLOOKUP($A254,Questions!$B:$AB,27,FALSE))</f>
        <v xml:space="preserve"> </v>
      </c>
      <c r="K254"/>
    </row>
    <row r="255" spans="1:11" ht="64.5" customHeight="1">
      <c r="A255" s="10" t="s">
        <v>482</v>
      </c>
      <c r="B255" s="23" t="str">
        <f>VLOOKUP(A255,'HECVAT - Full | Vendor Response'!A$27:B$284,2,FALSE)</f>
        <v>Does your application support varying levels of access to records based on user ID?</v>
      </c>
      <c r="C255" s="30" t="str">
        <f>IF(LEN(VLOOKUP($A255,Questions!$B:$AA,20,FALSE))=0,"",VLOOKUP($A255,Questions!$B:$AA,20,FALSE))</f>
        <v xml:space="preserve"> </v>
      </c>
      <c r="D255" s="30" t="str">
        <f>IF(LEN(VLOOKUP($A255,Questions!$B:$AA,21,FALSE))=0,"",VLOOKUP($A255,Questions!$B:$AA,21,FALSE))</f>
        <v xml:space="preserve"> </v>
      </c>
      <c r="E255" s="31" t="str">
        <f>IF(LEN(VLOOKUP($A255,Questions!$B:$AA,22,FALSE))=0,"",VLOOKUP($A255,Questions!$B:$AA,22,FALSE))</f>
        <v xml:space="preserve"> </v>
      </c>
      <c r="F255" s="30" t="str">
        <f>IF(LEN(VLOOKUP($A255,Questions!$B:$AA,23,FALSE))=0,"",VLOOKUP($A255,Questions!$B:$AA,23,FALSE))</f>
        <v xml:space="preserve"> </v>
      </c>
      <c r="G255" s="30" t="str">
        <f>IF(LEN(VLOOKUP($A255,Questions!$B:$AA,24,FALSE))=0,"",VLOOKUP($A255,Questions!$B:$AA,24,FALSE))</f>
        <v xml:space="preserve"> </v>
      </c>
      <c r="H255" s="31" t="str">
        <f>IF(LEN(VLOOKUP($A255,Questions!$B:$AA,25,FALSE))=0,"",VLOOKUP($A255,Questions!$B:$AA,25,FALSE))</f>
        <v xml:space="preserve"> </v>
      </c>
      <c r="I255" s="30" t="str">
        <f>IF(LEN(VLOOKUP($A255,Questions!$B:$AA,26,FALSE))=0,"",VLOOKUP($A255,Questions!$B:$AA,26,FALSE))</f>
        <v xml:space="preserve"> </v>
      </c>
      <c r="J255" s="30" t="str">
        <f>IF(LEN(VLOOKUP($A255,Questions!$B:$AB,27,FALSE))=0,"",VLOOKUP($A255,Questions!$B:$AB,27,FALSE))</f>
        <v xml:space="preserve"> </v>
      </c>
      <c r="K255"/>
    </row>
    <row r="256" spans="1:11" ht="64.5" customHeight="1">
      <c r="A256" s="10" t="s">
        <v>483</v>
      </c>
      <c r="B256" s="23" t="str">
        <f>VLOOKUP(A256,'HECVAT - Full | Vendor Response'!A$27:B$284,2,FALSE)</f>
        <v>Is there a limit to the number of groups to which a user can be assigned?</v>
      </c>
      <c r="C256" s="30" t="str">
        <f>IF(LEN(VLOOKUP($A256,Questions!$B:$AA,20,FALSE))=0,"",VLOOKUP($A256,Questions!$B:$AA,20,FALSE))</f>
        <v xml:space="preserve"> </v>
      </c>
      <c r="D256" s="30" t="str">
        <f>IF(LEN(VLOOKUP($A256,Questions!$B:$AA,21,FALSE))=0,"",VLOOKUP($A256,Questions!$B:$AA,21,FALSE))</f>
        <v xml:space="preserve"> </v>
      </c>
      <c r="E256" s="30" t="str">
        <f>IF(LEN(VLOOKUP($A256,Questions!$B:$AA,22,FALSE))=0,"",VLOOKUP($A256,Questions!$B:$AA,22,FALSE))</f>
        <v xml:space="preserve"> </v>
      </c>
      <c r="F256" s="30" t="str">
        <f>IF(LEN(VLOOKUP($A256,Questions!$B:$AA,23,FALSE))=0,"",VLOOKUP($A256,Questions!$B:$AA,23,FALSE))</f>
        <v xml:space="preserve"> </v>
      </c>
      <c r="G256" s="30" t="str">
        <f>IF(LEN(VLOOKUP($A256,Questions!$B:$AA,24,FALSE))=0,"",VLOOKUP($A256,Questions!$B:$AA,24,FALSE))</f>
        <v xml:space="preserve"> </v>
      </c>
      <c r="H256" s="31" t="str">
        <f>IF(LEN(VLOOKUP($A256,Questions!$B:$AA,25,FALSE))=0,"",VLOOKUP($A256,Questions!$B:$AA,25,FALSE))</f>
        <v xml:space="preserve"> </v>
      </c>
      <c r="I256" s="30" t="str">
        <f>IF(LEN(VLOOKUP($A256,Questions!$B:$AA,26,FALSE))=0,"",VLOOKUP($A256,Questions!$B:$AA,26,FALSE))</f>
        <v xml:space="preserve"> </v>
      </c>
      <c r="J256" s="30" t="str">
        <f>IF(LEN(VLOOKUP($A256,Questions!$B:$AB,27,FALSE))=0,"",VLOOKUP($A256,Questions!$B:$AB,27,FALSE))</f>
        <v xml:space="preserve"> </v>
      </c>
      <c r="K256"/>
    </row>
    <row r="257" spans="1:11" ht="64.5" customHeight="1">
      <c r="A257" s="10" t="s">
        <v>484</v>
      </c>
      <c r="B257" s="23" t="str">
        <f>VLOOKUP(A257,'HECVAT - Full | Vendor Response'!A$27:B$284,2,FALSE)</f>
        <v>Do accounts used for vendor-supplied remote support abide by the same authentication policies and access logging as the rest of the system?</v>
      </c>
      <c r="C257" s="30" t="str">
        <f>IF(LEN(VLOOKUP($A257,Questions!$B:$AA,20,FALSE))=0,"",VLOOKUP($A257,Questions!$B:$AA,20,FALSE))</f>
        <v xml:space="preserve"> </v>
      </c>
      <c r="D257" s="30" t="str">
        <f>IF(LEN(VLOOKUP($A257,Questions!$B:$AA,21,FALSE))=0,"",VLOOKUP($A257,Questions!$B:$AA,21,FALSE))</f>
        <v xml:space="preserve"> </v>
      </c>
      <c r="E257" s="30" t="str">
        <f>IF(LEN(VLOOKUP($A257,Questions!$B:$AA,22,FALSE))=0,"",VLOOKUP($A257,Questions!$B:$AA,22,FALSE))</f>
        <v xml:space="preserve"> </v>
      </c>
      <c r="F257" s="30" t="str">
        <f>IF(LEN(VLOOKUP($A257,Questions!$B:$AA,23,FALSE))=0,"",VLOOKUP($A257,Questions!$B:$AA,23,FALSE))</f>
        <v xml:space="preserve"> </v>
      </c>
      <c r="G257" s="30" t="str">
        <f>IF(LEN(VLOOKUP($A257,Questions!$B:$AA,24,FALSE))=0,"",VLOOKUP($A257,Questions!$B:$AA,24,FALSE))</f>
        <v xml:space="preserve"> </v>
      </c>
      <c r="H257" s="31" t="str">
        <f>IF(LEN(VLOOKUP($A257,Questions!$B:$AA,25,FALSE))=0,"",VLOOKUP($A257,Questions!$B:$AA,25,FALSE))</f>
        <v xml:space="preserve"> </v>
      </c>
      <c r="I257" s="30" t="str">
        <f>IF(LEN(VLOOKUP($A257,Questions!$B:$AA,26,FALSE))=0,"",VLOOKUP($A257,Questions!$B:$AA,26,FALSE))</f>
        <v xml:space="preserve"> </v>
      </c>
      <c r="J257" s="30" t="str">
        <f>IF(LEN(VLOOKUP($A257,Questions!$B:$AB,27,FALSE))=0,"",VLOOKUP($A257,Questions!$B:$AB,27,FALSE))</f>
        <v xml:space="preserve"> </v>
      </c>
      <c r="K257"/>
    </row>
    <row r="258" spans="1:11" ht="47.25" customHeight="1">
      <c r="A258" s="10" t="s">
        <v>485</v>
      </c>
      <c r="B258" s="23" t="str">
        <f>VLOOKUP(A258,'HECVAT - Full | Vendor Response'!A$27:B$284,2,FALSE)</f>
        <v xml:space="preserve">Does the application log record access including specific user, date/time of access, and originating IP or device? </v>
      </c>
      <c r="C258" s="30" t="str">
        <f>IF(LEN(VLOOKUP($A258,Questions!$B:$AA,20,FALSE))=0,"",VLOOKUP($A258,Questions!$B:$AA,20,FALSE))</f>
        <v xml:space="preserve"> </v>
      </c>
      <c r="D258" s="30" t="str">
        <f>IF(LEN(VLOOKUP($A258,Questions!$B:$AA,21,FALSE))=0,"",VLOOKUP($A258,Questions!$B:$AA,21,FALSE))</f>
        <v xml:space="preserve"> </v>
      </c>
      <c r="E258" s="30" t="str">
        <f>IF(LEN(VLOOKUP($A258,Questions!$B:$AA,22,FALSE))=0,"",VLOOKUP($A258,Questions!$B:$AA,22,FALSE))</f>
        <v xml:space="preserve"> </v>
      </c>
      <c r="F258" s="30" t="str">
        <f>IF(LEN(VLOOKUP($A258,Questions!$B:$AA,23,FALSE))=0,"",VLOOKUP($A258,Questions!$B:$AA,23,FALSE))</f>
        <v xml:space="preserve"> </v>
      </c>
      <c r="G258" s="31" t="str">
        <f>IF(LEN(VLOOKUP($A258,Questions!$B:$AA,24,FALSE))=0,"",VLOOKUP($A258,Questions!$B:$AA,24,FALSE))</f>
        <v xml:space="preserve"> </v>
      </c>
      <c r="H258" s="31" t="str">
        <f>IF(LEN(VLOOKUP($A258,Questions!$B:$AA,25,FALSE))=0,"",VLOOKUP($A258,Questions!$B:$AA,25,FALSE))</f>
        <v xml:space="preserve"> </v>
      </c>
      <c r="I258" s="31" t="str">
        <f>IF(LEN(VLOOKUP($A258,Questions!$B:$AA,26,FALSE))=0,"",VLOOKUP($A258,Questions!$B:$AA,26,FALSE))</f>
        <v xml:space="preserve"> </v>
      </c>
      <c r="J258" s="31" t="str">
        <f>IF(LEN(VLOOKUP($A258,Questions!$B:$AB,27,FALSE))=0,"",VLOOKUP($A258,Questions!$B:$AB,27,FALSE))</f>
        <v xml:space="preserve"> </v>
      </c>
      <c r="K258"/>
    </row>
    <row r="259" spans="1:11" ht="47.25" customHeight="1">
      <c r="A259" s="10" t="s">
        <v>486</v>
      </c>
      <c r="B259" s="23" t="str">
        <f>VLOOKUP(A259,'HECVAT - Full | Vendor Response'!A$27:B$284,2,FALSE)</f>
        <v>Does the application log administrative activity, such user account access changes and password changes, including specific user, date/time of changes, and originating IP or device?</v>
      </c>
      <c r="C259" s="30" t="str">
        <f>IF(LEN(VLOOKUP($A259,Questions!$B:$AA,20,FALSE))=0,"",VLOOKUP($A259,Questions!$B:$AA,20,FALSE))</f>
        <v xml:space="preserve"> </v>
      </c>
      <c r="D259" s="30" t="str">
        <f>IF(LEN(VLOOKUP($A259,Questions!$B:$AA,21,FALSE))=0,"",VLOOKUP($A259,Questions!$B:$AA,21,FALSE))</f>
        <v xml:space="preserve"> </v>
      </c>
      <c r="E259" s="31" t="str">
        <f>IF(LEN(VLOOKUP($A259,Questions!$B:$AA,22,FALSE))=0,"",VLOOKUP($A259,Questions!$B:$AA,22,FALSE))</f>
        <v xml:space="preserve"> </v>
      </c>
      <c r="F259" s="30" t="str">
        <f>IF(LEN(VLOOKUP($A259,Questions!$B:$AA,23,FALSE))=0,"",VLOOKUP($A259,Questions!$B:$AA,23,FALSE))</f>
        <v xml:space="preserve"> </v>
      </c>
      <c r="G259" s="30" t="str">
        <f>IF(LEN(VLOOKUP($A259,Questions!$B:$AA,24,FALSE))=0,"",VLOOKUP($A259,Questions!$B:$AA,24,FALSE))</f>
        <v xml:space="preserve"> </v>
      </c>
      <c r="H259" s="30" t="str">
        <f>IF(LEN(VLOOKUP($A259,Questions!$B:$AA,25,FALSE))=0,"",VLOOKUP($A259,Questions!$B:$AA,25,FALSE))</f>
        <v xml:space="preserve"> </v>
      </c>
      <c r="I259" s="30" t="str">
        <f>IF(LEN(VLOOKUP($A259,Questions!$B:$AA,26,FALSE))=0,"",VLOOKUP($A259,Questions!$B:$AA,26,FALSE))</f>
        <v xml:space="preserve"> </v>
      </c>
      <c r="J259" s="30" t="str">
        <f>IF(LEN(VLOOKUP($A259,Questions!$B:$AB,27,FALSE))=0,"",VLOOKUP($A259,Questions!$B:$AB,27,FALSE))</f>
        <v xml:space="preserve"> </v>
      </c>
      <c r="K259"/>
    </row>
    <row r="260" spans="1:11" ht="48" customHeight="1">
      <c r="A260" s="10" t="s">
        <v>487</v>
      </c>
      <c r="B260" s="23" t="str">
        <f>VLOOKUP(A260,'HECVAT - Full | Vendor Response'!A$27:B$284,2,FALSE)</f>
        <v>How long does the application keep access/change logs?</v>
      </c>
      <c r="C260" s="30" t="str">
        <f>IF(LEN(VLOOKUP($A260,Questions!$B:$AA,20,FALSE))=0,"",VLOOKUP($A260,Questions!$B:$AA,20,FALSE))</f>
        <v xml:space="preserve"> </v>
      </c>
      <c r="D260" s="30" t="str">
        <f>IF(LEN(VLOOKUP($A260,Questions!$B:$AA,21,FALSE))=0,"",VLOOKUP($A260,Questions!$B:$AA,21,FALSE))</f>
        <v xml:space="preserve"> </v>
      </c>
      <c r="E260" s="30" t="str">
        <f>IF(LEN(VLOOKUP($A260,Questions!$B:$AA,22,FALSE))=0,"",VLOOKUP($A260,Questions!$B:$AA,22,FALSE))</f>
        <v xml:space="preserve"> </v>
      </c>
      <c r="F260" s="30" t="str">
        <f>IF(LEN(VLOOKUP($A260,Questions!$B:$AA,23,FALSE))=0,"",VLOOKUP($A260,Questions!$B:$AA,23,FALSE))</f>
        <v xml:space="preserve"> </v>
      </c>
      <c r="G260" s="30" t="str">
        <f>IF(LEN(VLOOKUP($A260,Questions!$B:$AA,24,FALSE))=0,"",VLOOKUP($A260,Questions!$B:$AA,24,FALSE))</f>
        <v xml:space="preserve"> </v>
      </c>
      <c r="H260" s="30" t="str">
        <f>IF(LEN(VLOOKUP($A260,Questions!$B:$AA,25,FALSE))=0,"",VLOOKUP($A260,Questions!$B:$AA,25,FALSE))</f>
        <v xml:space="preserve"> </v>
      </c>
      <c r="I260" s="30" t="str">
        <f>IF(LEN(VLOOKUP($A260,Questions!$B:$AA,26,FALSE))=0,"",VLOOKUP($A260,Questions!$B:$AA,26,FALSE))</f>
        <v xml:space="preserve"> </v>
      </c>
      <c r="J260" s="30" t="str">
        <f>IF(LEN(VLOOKUP($A260,Questions!$B:$AB,27,FALSE))=0,"",VLOOKUP($A260,Questions!$B:$AB,27,FALSE))</f>
        <v xml:space="preserve"> </v>
      </c>
      <c r="K260"/>
    </row>
    <row r="261" spans="1:11" ht="65.25" customHeight="1">
      <c r="A261" s="10" t="s">
        <v>488</v>
      </c>
      <c r="B261" s="23" t="str">
        <f>VLOOKUP(A261,'HECVAT - Full | Vendor Response'!A$27:B$284,2,FALSE)</f>
        <v xml:space="preserve">Can the application logs be archived? </v>
      </c>
      <c r="C261" s="30" t="str">
        <f>IF(LEN(VLOOKUP($A261,Questions!$B:$AA,20,FALSE))=0,"",VLOOKUP($A261,Questions!$B:$AA,20,FALSE))</f>
        <v xml:space="preserve"> </v>
      </c>
      <c r="D261" s="30" t="str">
        <f>IF(LEN(VLOOKUP($A261,Questions!$B:$AA,21,FALSE))=0,"",VLOOKUP($A261,Questions!$B:$AA,21,FALSE))</f>
        <v xml:space="preserve"> </v>
      </c>
      <c r="E261" s="30" t="str">
        <f>IF(LEN(VLOOKUP($A261,Questions!$B:$AA,22,FALSE))=0,"",VLOOKUP($A261,Questions!$B:$AA,22,FALSE))</f>
        <v xml:space="preserve"> </v>
      </c>
      <c r="F261" s="30" t="str">
        <f>IF(LEN(VLOOKUP($A261,Questions!$B:$AA,23,FALSE))=0,"",VLOOKUP($A261,Questions!$B:$AA,23,FALSE))</f>
        <v xml:space="preserve"> </v>
      </c>
      <c r="G261" s="31" t="str">
        <f>IF(LEN(VLOOKUP($A261,Questions!$B:$AA,24,FALSE))=0,"",VLOOKUP($A261,Questions!$B:$AA,24,FALSE))</f>
        <v xml:space="preserve"> </v>
      </c>
      <c r="H261" s="31" t="str">
        <f>IF(LEN(VLOOKUP($A261,Questions!$B:$AA,25,FALSE))=0,"",VLOOKUP($A261,Questions!$B:$AA,25,FALSE))</f>
        <v xml:space="preserve"> </v>
      </c>
      <c r="I261" s="30" t="str">
        <f>IF(LEN(VLOOKUP($A261,Questions!$B:$AA,26,FALSE))=0,"",VLOOKUP($A261,Questions!$B:$AA,26,FALSE))</f>
        <v xml:space="preserve"> </v>
      </c>
      <c r="J261" s="30" t="str">
        <f>IF(LEN(VLOOKUP($A261,Questions!$B:$AB,27,FALSE))=0,"",VLOOKUP($A261,Questions!$B:$AB,27,FALSE))</f>
        <v xml:space="preserve"> </v>
      </c>
      <c r="K261"/>
    </row>
    <row r="262" spans="1:11" ht="36" customHeight="1">
      <c r="A262" s="10" t="s">
        <v>489</v>
      </c>
      <c r="B262" s="23" t="str">
        <f>VLOOKUP(A262,'HECVAT - Full | Vendor Response'!A$27:B$284,2,FALSE)</f>
        <v xml:space="preserve">Can the application logs be saved externally? </v>
      </c>
      <c r="C262" s="30" t="str">
        <f>IF(LEN(VLOOKUP($A262,Questions!$B:$AA,20,FALSE))=0,"",VLOOKUP($A262,Questions!$B:$AA,20,FALSE))</f>
        <v xml:space="preserve"> </v>
      </c>
      <c r="D262" s="30" t="str">
        <f>IF(LEN(VLOOKUP($A262,Questions!$B:$AA,21,FALSE))=0,"",VLOOKUP($A262,Questions!$B:$AA,21,FALSE))</f>
        <v xml:space="preserve"> </v>
      </c>
      <c r="E262" s="30" t="str">
        <f>IF(LEN(VLOOKUP($A262,Questions!$B:$AA,22,FALSE))=0,"",VLOOKUP($A262,Questions!$B:$AA,22,FALSE))</f>
        <v xml:space="preserve"> </v>
      </c>
      <c r="F262" s="30" t="str">
        <f>IF(LEN(VLOOKUP($A262,Questions!$B:$AA,23,FALSE))=0,"",VLOOKUP($A262,Questions!$B:$AA,23,FALSE))</f>
        <v xml:space="preserve"> </v>
      </c>
      <c r="G262" s="31" t="str">
        <f>IF(LEN(VLOOKUP($A262,Questions!$B:$AA,24,FALSE))=0,"",VLOOKUP($A262,Questions!$B:$AA,24,FALSE))</f>
        <v xml:space="preserve"> </v>
      </c>
      <c r="H262" s="31" t="str">
        <f>IF(LEN(VLOOKUP($A262,Questions!$B:$AA,25,FALSE))=0,"",VLOOKUP($A262,Questions!$B:$AA,25,FALSE))</f>
        <v xml:space="preserve"> </v>
      </c>
      <c r="I262" s="30" t="str">
        <f>IF(LEN(VLOOKUP($A262,Questions!$B:$AA,26,FALSE))=0,"",VLOOKUP($A262,Questions!$B:$AA,26,FALSE))</f>
        <v xml:space="preserve"> </v>
      </c>
      <c r="J262" s="30" t="str">
        <f>IF(LEN(VLOOKUP($A262,Questions!$B:$AB,27,FALSE))=0,"",VLOOKUP($A262,Questions!$B:$AB,27,FALSE))</f>
        <v xml:space="preserve"> </v>
      </c>
      <c r="K262"/>
    </row>
    <row r="263" spans="1:11" ht="36" customHeight="1">
      <c r="A263" s="10" t="s">
        <v>490</v>
      </c>
      <c r="B263" s="23" t="str">
        <f>VLOOKUP(A263,'HECVAT - Full | Vendor Response'!A$27:B$284,2,FALSE)</f>
        <v>Do your data backup and retention policies and practices meet HIPAA requirements?</v>
      </c>
      <c r="C263" s="30" t="str">
        <f>IF(LEN(VLOOKUP($A263,Questions!$B:$AA,20,FALSE))=0,"",VLOOKUP($A263,Questions!$B:$AA,20,FALSE))</f>
        <v xml:space="preserve"> </v>
      </c>
      <c r="D263" s="30" t="str">
        <f>IF(LEN(VLOOKUP($A263,Questions!$B:$AA,21,FALSE))=0,"",VLOOKUP($A263,Questions!$B:$AA,21,FALSE))</f>
        <v xml:space="preserve"> </v>
      </c>
      <c r="E263" s="30" t="str">
        <f>IF(LEN(VLOOKUP($A263,Questions!$B:$AA,22,FALSE))=0,"",VLOOKUP($A263,Questions!$B:$AA,22,FALSE))</f>
        <v xml:space="preserve"> </v>
      </c>
      <c r="F263" s="30" t="str">
        <f>IF(LEN(VLOOKUP($A263,Questions!$B:$AA,23,FALSE))=0,"",VLOOKUP($A263,Questions!$B:$AA,23,FALSE))</f>
        <v xml:space="preserve"> </v>
      </c>
      <c r="G263" s="31" t="str">
        <f>IF(LEN(VLOOKUP($A263,Questions!$B:$AA,24,FALSE))=0,"",VLOOKUP($A263,Questions!$B:$AA,24,FALSE))</f>
        <v xml:space="preserve"> </v>
      </c>
      <c r="H263" s="31" t="str">
        <f>IF(LEN(VLOOKUP($A263,Questions!$B:$AA,25,FALSE))=0,"",VLOOKUP($A263,Questions!$B:$AA,25,FALSE))</f>
        <v xml:space="preserve"> </v>
      </c>
      <c r="I263" s="30" t="str">
        <f>IF(LEN(VLOOKUP($A263,Questions!$B:$AA,26,FALSE))=0,"",VLOOKUP($A263,Questions!$B:$AA,26,FALSE))</f>
        <v xml:space="preserve"> </v>
      </c>
      <c r="J263" s="30" t="str">
        <f>IF(LEN(VLOOKUP($A263,Questions!$B:$AB,27,FALSE))=0,"",VLOOKUP($A263,Questions!$B:$AB,27,FALSE))</f>
        <v xml:space="preserve"> </v>
      </c>
      <c r="K263"/>
    </row>
    <row r="264" spans="1:11" ht="36" customHeight="1">
      <c r="A264" s="10" t="s">
        <v>491</v>
      </c>
      <c r="B264" s="23" t="str">
        <f>VLOOKUP(A264,'HECVAT - Full | Vendor Response'!A$27:B$284,2,FALSE)</f>
        <v>Do you have a disaster recovery plan and emergency mode operation plan?</v>
      </c>
      <c r="C264" s="30" t="str">
        <f>IF(LEN(VLOOKUP($A264,Questions!$B:$AA,20,FALSE))=0,"",VLOOKUP($A264,Questions!$B:$AA,20,FALSE))</f>
        <v xml:space="preserve"> </v>
      </c>
      <c r="D264" s="30" t="str">
        <f>IF(LEN(VLOOKUP($A264,Questions!$B:$AA,21,FALSE))=0,"",VLOOKUP($A264,Questions!$B:$AA,21,FALSE))</f>
        <v xml:space="preserve"> </v>
      </c>
      <c r="E264" s="30" t="str">
        <f>IF(LEN(VLOOKUP($A264,Questions!$B:$AA,22,FALSE))=0,"",VLOOKUP($A264,Questions!$B:$AA,22,FALSE))</f>
        <v xml:space="preserve"> </v>
      </c>
      <c r="F264" s="30" t="str">
        <f>IF(LEN(VLOOKUP($A264,Questions!$B:$AA,23,FALSE))=0,"",VLOOKUP($A264,Questions!$B:$AA,23,FALSE))</f>
        <v xml:space="preserve"> </v>
      </c>
      <c r="G264" s="31" t="str">
        <f>IF(LEN(VLOOKUP($A264,Questions!$B:$AA,24,FALSE))=0,"",VLOOKUP($A264,Questions!$B:$AA,24,FALSE))</f>
        <v xml:space="preserve"> </v>
      </c>
      <c r="H264" s="31" t="str">
        <f>IF(LEN(VLOOKUP($A264,Questions!$B:$AA,25,FALSE))=0,"",VLOOKUP($A264,Questions!$B:$AA,25,FALSE))</f>
        <v xml:space="preserve"> </v>
      </c>
      <c r="I264" s="30" t="str">
        <f>IF(LEN(VLOOKUP($A264,Questions!$B:$AA,26,FALSE))=0,"",VLOOKUP($A264,Questions!$B:$AA,26,FALSE))</f>
        <v xml:space="preserve"> </v>
      </c>
      <c r="J264" s="30" t="str">
        <f>IF(LEN(VLOOKUP($A264,Questions!$B:$AB,27,FALSE))=0,"",VLOOKUP($A264,Questions!$B:$AB,27,FALSE))</f>
        <v xml:space="preserve"> </v>
      </c>
      <c r="K264"/>
    </row>
    <row r="265" spans="1:11" ht="48" customHeight="1">
      <c r="A265" s="10" t="s">
        <v>492</v>
      </c>
      <c r="B265" s="23" t="str">
        <f>VLOOKUP(A265,'HECVAT - Full | Vendor Response'!A$27:B$284,2,FALSE)</f>
        <v>Have the policies/plans mentioned above been tested?</v>
      </c>
      <c r="C265" s="30" t="str">
        <f>IF(LEN(VLOOKUP($A265,Questions!$B:$AA,20,FALSE))=0,"",VLOOKUP($A265,Questions!$B:$AA,20,FALSE))</f>
        <v xml:space="preserve"> </v>
      </c>
      <c r="D265" s="30" t="str">
        <f>IF(LEN(VLOOKUP($A265,Questions!$B:$AA,21,FALSE))=0,"",VLOOKUP($A265,Questions!$B:$AA,21,FALSE))</f>
        <v xml:space="preserve"> </v>
      </c>
      <c r="E265" s="30" t="str">
        <f>IF(LEN(VLOOKUP($A265,Questions!$B:$AA,22,FALSE))=0,"",VLOOKUP($A265,Questions!$B:$AA,22,FALSE))</f>
        <v xml:space="preserve"> </v>
      </c>
      <c r="F265" s="30" t="str">
        <f>IF(LEN(VLOOKUP($A265,Questions!$B:$AA,23,FALSE))=0,"",VLOOKUP($A265,Questions!$B:$AA,23,FALSE))</f>
        <v xml:space="preserve"> </v>
      </c>
      <c r="G265" s="31" t="str">
        <f>IF(LEN(VLOOKUP($A265,Questions!$B:$AA,24,FALSE))=0,"",VLOOKUP($A265,Questions!$B:$AA,24,FALSE))</f>
        <v xml:space="preserve"> </v>
      </c>
      <c r="H265" s="31" t="str">
        <f>IF(LEN(VLOOKUP($A265,Questions!$B:$AA,25,FALSE))=0,"",VLOOKUP($A265,Questions!$B:$AA,25,FALSE))</f>
        <v xml:space="preserve"> </v>
      </c>
      <c r="I265" s="30" t="str">
        <f>IF(LEN(VLOOKUP($A265,Questions!$B:$AA,26,FALSE))=0,"",VLOOKUP($A265,Questions!$B:$AA,26,FALSE))</f>
        <v xml:space="preserve"> </v>
      </c>
      <c r="J265" s="30" t="str">
        <f>IF(LEN(VLOOKUP($A265,Questions!$B:$AB,27,FALSE))=0,"",VLOOKUP($A265,Questions!$B:$AB,27,FALSE))</f>
        <v xml:space="preserve"> </v>
      </c>
      <c r="K265"/>
    </row>
    <row r="266" spans="1:11" ht="47.25" customHeight="1">
      <c r="A266" s="10" t="s">
        <v>493</v>
      </c>
      <c r="B266" s="23" t="str">
        <f>VLOOKUP(A266,'HECVAT - Full | Vendor Response'!A$27:B$284,2,FALSE)</f>
        <v>Can you provide a HIPAA compliance attestation document?</v>
      </c>
      <c r="C266" s="30" t="str">
        <f>IF(LEN(VLOOKUP($A266,Questions!$B:$AA,20,FALSE))=0,"",VLOOKUP($A266,Questions!$B:$AA,20,FALSE))</f>
        <v xml:space="preserve"> </v>
      </c>
      <c r="D266" s="30" t="str">
        <f>IF(LEN(VLOOKUP($A266,Questions!$B:$AA,21,FALSE))=0,"",VLOOKUP($A266,Questions!$B:$AA,21,FALSE))</f>
        <v xml:space="preserve"> </v>
      </c>
      <c r="E266" s="30" t="str">
        <f>IF(LEN(VLOOKUP($A266,Questions!$B:$AA,22,FALSE))=0,"",VLOOKUP($A266,Questions!$B:$AA,22,FALSE))</f>
        <v xml:space="preserve"> </v>
      </c>
      <c r="F266" s="30" t="str">
        <f>IF(LEN(VLOOKUP($A266,Questions!$B:$AA,23,FALSE))=0,"",VLOOKUP($A266,Questions!$B:$AA,23,FALSE))</f>
        <v xml:space="preserve"> </v>
      </c>
      <c r="G266" s="30" t="str">
        <f>IF(LEN(VLOOKUP($A266,Questions!$B:$AA,24,FALSE))=0,"",VLOOKUP($A266,Questions!$B:$AA,24,FALSE))</f>
        <v xml:space="preserve"> </v>
      </c>
      <c r="H266" s="31" t="str">
        <f>IF(LEN(VLOOKUP($A266,Questions!$B:$AA,25,FALSE))=0,"",VLOOKUP($A266,Questions!$B:$AA,25,FALSE))</f>
        <v xml:space="preserve"> </v>
      </c>
      <c r="I266" s="30" t="str">
        <f>IF(LEN(VLOOKUP($A266,Questions!$B:$AA,26,FALSE))=0,"",VLOOKUP($A266,Questions!$B:$AA,26,FALSE))</f>
        <v xml:space="preserve"> </v>
      </c>
      <c r="J266" s="30" t="str">
        <f>IF(LEN(VLOOKUP($A266,Questions!$B:$AB,27,FALSE))=0,"",VLOOKUP($A266,Questions!$B:$AB,27,FALSE))</f>
        <v xml:space="preserve"> </v>
      </c>
      <c r="K266"/>
    </row>
    <row r="267" spans="1:11" ht="36" customHeight="1">
      <c r="A267" s="10" t="s">
        <v>494</v>
      </c>
      <c r="B267" s="23" t="str">
        <f>VLOOKUP(A267,'HECVAT - Full | Vendor Response'!A$27:B$284,2,FALSE)</f>
        <v>Are you willing to enter into a Business Associate Agreement (BAA)?</v>
      </c>
      <c r="C267" s="30" t="str">
        <f>IF(LEN(VLOOKUP($A267,Questions!$B:$AA,20,FALSE))=0,"",VLOOKUP($A267,Questions!$B:$AA,20,FALSE))</f>
        <v xml:space="preserve"> </v>
      </c>
      <c r="D267" s="30" t="str">
        <f>IF(LEN(VLOOKUP($A267,Questions!$B:$AA,21,FALSE))=0,"",VLOOKUP($A267,Questions!$B:$AA,21,FALSE))</f>
        <v xml:space="preserve"> </v>
      </c>
      <c r="E267" s="30" t="str">
        <f>IF(LEN(VLOOKUP($A267,Questions!$B:$AA,22,FALSE))=0,"",VLOOKUP($A267,Questions!$B:$AA,22,FALSE))</f>
        <v xml:space="preserve"> </v>
      </c>
      <c r="F267" s="30" t="str">
        <f>IF(LEN(VLOOKUP($A267,Questions!$B:$AA,23,FALSE))=0,"",VLOOKUP($A267,Questions!$B:$AA,23,FALSE))</f>
        <v xml:space="preserve"> </v>
      </c>
      <c r="G267" s="30" t="str">
        <f>IF(LEN(VLOOKUP($A267,Questions!$B:$AA,24,FALSE))=0,"",VLOOKUP($A267,Questions!$B:$AA,24,FALSE))</f>
        <v xml:space="preserve"> </v>
      </c>
      <c r="H267" s="31" t="str">
        <f>IF(LEN(VLOOKUP($A267,Questions!$B:$AA,25,FALSE))=0,"",VLOOKUP($A267,Questions!$B:$AA,25,FALSE))</f>
        <v xml:space="preserve"> </v>
      </c>
      <c r="I267" s="30" t="str">
        <f>IF(LEN(VLOOKUP($A267,Questions!$B:$AA,26,FALSE))=0,"",VLOOKUP($A267,Questions!$B:$AA,26,FALSE))</f>
        <v xml:space="preserve"> </v>
      </c>
      <c r="J267" s="30" t="str">
        <f>IF(LEN(VLOOKUP($A267,Questions!$B:$AB,27,FALSE))=0,"",VLOOKUP($A267,Questions!$B:$AB,27,FALSE))</f>
        <v xml:space="preserve"> </v>
      </c>
      <c r="K267"/>
    </row>
    <row r="268" spans="1:11" ht="36" customHeight="1">
      <c r="A268" s="10" t="s">
        <v>495</v>
      </c>
      <c r="B268" s="23" t="str">
        <f>VLOOKUP(A268,'HECVAT - Full | Vendor Response'!A$27:B$284,2,FALSE)</f>
        <v>Have you entered into a BAA with all subcontractors who may have access to protected health information (PHI)?</v>
      </c>
      <c r="C268" s="30" t="str">
        <f>IF(LEN(VLOOKUP($A268,Questions!$B:$AA,20,FALSE))=0,"",VLOOKUP($A268,Questions!$B:$AA,20,FALSE))</f>
        <v xml:space="preserve"> </v>
      </c>
      <c r="D268" s="30" t="str">
        <f>IF(LEN(VLOOKUP($A268,Questions!$B:$AA,21,FALSE))=0,"",VLOOKUP($A268,Questions!$B:$AA,21,FALSE))</f>
        <v xml:space="preserve"> </v>
      </c>
      <c r="E268" s="30" t="str">
        <f>IF(LEN(VLOOKUP($A268,Questions!$B:$AA,22,FALSE))=0,"",VLOOKUP($A268,Questions!$B:$AA,22,FALSE))</f>
        <v xml:space="preserve"> </v>
      </c>
      <c r="F268" s="30" t="str">
        <f>IF(LEN(VLOOKUP($A268,Questions!$B:$AA,23,FALSE))=0,"",VLOOKUP($A268,Questions!$B:$AA,23,FALSE))</f>
        <v xml:space="preserve"> </v>
      </c>
      <c r="G268" s="31" t="str">
        <f>IF(LEN(VLOOKUP($A268,Questions!$B:$AA,24,FALSE))=0,"",VLOOKUP($A268,Questions!$B:$AA,24,FALSE))</f>
        <v xml:space="preserve"> </v>
      </c>
      <c r="H268" s="31" t="str">
        <f>IF(LEN(VLOOKUP($A268,Questions!$B:$AA,25,FALSE))=0,"",VLOOKUP($A268,Questions!$B:$AA,25,FALSE))</f>
        <v xml:space="preserve"> </v>
      </c>
      <c r="I268" s="30" t="str">
        <f>IF(LEN(VLOOKUP($A268,Questions!$B:$AA,26,FALSE))=0,"",VLOOKUP($A268,Questions!$B:$AA,26,FALSE))</f>
        <v xml:space="preserve"> </v>
      </c>
      <c r="J268" s="30" t="str">
        <f>IF(LEN(VLOOKUP($A268,Questions!$B:$AB,27,FALSE))=0,"",VLOOKUP($A268,Questions!$B:$AB,27,FALSE))</f>
        <v xml:space="preserve"> </v>
      </c>
      <c r="K268" s="238" t="s">
        <v>3325</v>
      </c>
    </row>
    <row r="269" spans="1:11" ht="36" customHeight="1">
      <c r="A269" s="283" t="str">
        <f>IF(OR($C$30="No",$C$31="Yes"),"PCI DSS - Optional based on QUALIFIER response.","PCI DSS")</f>
        <v>PCI DSS</v>
      </c>
      <c r="B269" s="283"/>
      <c r="C269" s="18" t="str">
        <f>C$23</f>
        <v>CIS Critical Security Controls v6.1</v>
      </c>
      <c r="D269" s="18" t="str">
        <f t="shared" ref="D269:J269" si="18">D$23</f>
        <v>HIPAA</v>
      </c>
      <c r="E269" s="18" t="str">
        <f t="shared" si="18"/>
        <v>ISO 27002:27013</v>
      </c>
      <c r="F269" s="18" t="str">
        <f t="shared" si="18"/>
        <v>NIST Cybersecurity Framework</v>
      </c>
      <c r="G269" s="18" t="str">
        <f t="shared" si="18"/>
        <v>NIST SP 800-171r2</v>
      </c>
      <c r="H269" s="18" t="str">
        <f t="shared" si="18"/>
        <v>NIST SP 800-53r4</v>
      </c>
      <c r="I269" s="18" t="str">
        <f t="shared" si="18"/>
        <v>PCI DSS</v>
      </c>
      <c r="J269" s="18" t="str">
        <f t="shared" si="18"/>
        <v>Trusted CI</v>
      </c>
      <c r="K269"/>
    </row>
    <row r="270" spans="1:11" ht="48" customHeight="1">
      <c r="A270" s="10" t="s">
        <v>496</v>
      </c>
      <c r="B270" s="23" t="str">
        <f>VLOOKUP(A270,'HECVAT - Full | Vendor Response'!A$27:B$284,2,FALSE)</f>
        <v>Do your systems or products store, process, or transmit cardholder (payment/credit/debt card) data?</v>
      </c>
      <c r="C270" s="30" t="str">
        <f>IF(LEN(VLOOKUP($A270,Questions!$B:$AA,20,FALSE))=0,"",VLOOKUP($A270,Questions!$B:$AA,20,FALSE))</f>
        <v xml:space="preserve"> </v>
      </c>
      <c r="D270" s="32" t="str">
        <f>IF(LEN(VLOOKUP($A270,Questions!$B:$AA,21,FALSE))=0,"",VLOOKUP($A270,Questions!$B:$AA,21,FALSE))</f>
        <v xml:space="preserve"> </v>
      </c>
      <c r="E270" s="30" t="str">
        <f>IF(LEN(VLOOKUP($A270,Questions!$B:$AA,22,FALSE))=0,"",VLOOKUP($A270,Questions!$B:$AA,22,FALSE))</f>
        <v xml:space="preserve"> </v>
      </c>
      <c r="F270" s="30" t="str">
        <f>IF(LEN(VLOOKUP($A270,Questions!$B:$AA,23,FALSE))=0,"",VLOOKUP($A270,Questions!$B:$AA,23,FALSE))</f>
        <v xml:space="preserve"> </v>
      </c>
      <c r="G270" s="31" t="str">
        <f>IF(LEN(VLOOKUP($A270,Questions!$B:$AA,24,FALSE))=0,"",VLOOKUP($A270,Questions!$B:$AA,24,FALSE))</f>
        <v xml:space="preserve"> </v>
      </c>
      <c r="H270" s="32" t="str">
        <f>IF(LEN(VLOOKUP($A270,Questions!$B:$AA,25,FALSE))=0,"",VLOOKUP($A270,Questions!$B:$AA,25,FALSE))</f>
        <v xml:space="preserve"> </v>
      </c>
      <c r="I270" s="30" t="str">
        <f>IF(LEN(VLOOKUP($A270,Questions!$B:$AA,26,FALSE))=0,"",VLOOKUP($A270,Questions!$B:$AA,26,FALSE))</f>
        <v xml:space="preserve"> </v>
      </c>
      <c r="J270" s="30" t="str">
        <f>IF(LEN(VLOOKUP($A270,Questions!$B:$AB,27,FALSE))=0,"",VLOOKUP($A270,Questions!$B:$AB,27,FALSE))</f>
        <v xml:space="preserve"> </v>
      </c>
      <c r="K270"/>
    </row>
    <row r="271" spans="1:11" ht="48" customHeight="1">
      <c r="A271" s="10" t="s">
        <v>497</v>
      </c>
      <c r="B271" s="23" t="str">
        <f>VLOOKUP(A271,'HECVAT - Full | Vendor Response'!A$27:B$284,2,FALSE)</f>
        <v>Are you compliant with the Payment Card Industry Data Security Standard (PCI DSS)?</v>
      </c>
      <c r="C271" s="30" t="str">
        <f>IF(LEN(VLOOKUP($A271,Questions!$B:$AA,20,FALSE))=0,"",VLOOKUP($A271,Questions!$B:$AA,20,FALSE))</f>
        <v xml:space="preserve"> </v>
      </c>
      <c r="D271" s="32" t="str">
        <f>IF(LEN(VLOOKUP($A271,Questions!$B:$AA,21,FALSE))=0,"",VLOOKUP($A271,Questions!$B:$AA,21,FALSE))</f>
        <v xml:space="preserve"> </v>
      </c>
      <c r="E271" s="30" t="str">
        <f>IF(LEN(VLOOKUP($A271,Questions!$B:$AA,22,FALSE))=0,"",VLOOKUP($A271,Questions!$B:$AA,22,FALSE))</f>
        <v xml:space="preserve"> </v>
      </c>
      <c r="F271" s="30" t="str">
        <f>IF(LEN(VLOOKUP($A271,Questions!$B:$AA,23,FALSE))=0,"",VLOOKUP($A271,Questions!$B:$AA,23,FALSE))</f>
        <v xml:space="preserve"> </v>
      </c>
      <c r="G271" s="31" t="str">
        <f>IF(LEN(VLOOKUP($A271,Questions!$B:$AA,24,FALSE))=0,"",VLOOKUP($A271,Questions!$B:$AA,24,FALSE))</f>
        <v xml:space="preserve"> </v>
      </c>
      <c r="H271" s="32" t="str">
        <f>IF(LEN(VLOOKUP($A271,Questions!$B:$AA,25,FALSE))=0,"",VLOOKUP($A271,Questions!$B:$AA,25,FALSE))</f>
        <v xml:space="preserve"> </v>
      </c>
      <c r="I271" s="30" t="str">
        <f>IF(LEN(VLOOKUP($A271,Questions!$B:$AA,26,FALSE))=0,"",VLOOKUP($A271,Questions!$B:$AA,26,FALSE))</f>
        <v xml:space="preserve"> </v>
      </c>
      <c r="J271" s="30" t="str">
        <f>IF(LEN(VLOOKUP($A271,Questions!$B:$AB,27,FALSE))=0,"",VLOOKUP($A271,Questions!$B:$AB,27,FALSE))</f>
        <v xml:space="preserve"> </v>
      </c>
      <c r="K271"/>
    </row>
    <row r="272" spans="1:11" ht="48" customHeight="1">
      <c r="A272" s="10" t="s">
        <v>498</v>
      </c>
      <c r="B272" s="23" t="str">
        <f>VLOOKUP(A272,'HECVAT - Full | Vendor Response'!A$27:B$284,2,FALSE)</f>
        <v>Do you have a current, executed within the past year, Attestation of Compliance (AoC) or Report on Compliance (RoC)?</v>
      </c>
      <c r="C272" s="30" t="str">
        <f>IF(LEN(VLOOKUP($A272,Questions!$B:$AA,20,FALSE))=0,"",VLOOKUP($A272,Questions!$B:$AA,20,FALSE))</f>
        <v xml:space="preserve"> </v>
      </c>
      <c r="D272" s="32" t="str">
        <f>IF(LEN(VLOOKUP($A272,Questions!$B:$AA,21,FALSE))=0,"",VLOOKUP($A272,Questions!$B:$AA,21,FALSE))</f>
        <v xml:space="preserve"> </v>
      </c>
      <c r="E272" s="30" t="str">
        <f>IF(LEN(VLOOKUP($A272,Questions!$B:$AA,22,FALSE))=0,"",VLOOKUP($A272,Questions!$B:$AA,22,FALSE))</f>
        <v xml:space="preserve"> </v>
      </c>
      <c r="F272" s="30" t="str">
        <f>IF(LEN(VLOOKUP($A272,Questions!$B:$AA,23,FALSE))=0,"",VLOOKUP($A272,Questions!$B:$AA,23,FALSE))</f>
        <v xml:space="preserve"> </v>
      </c>
      <c r="G272" s="31" t="str">
        <f>IF(LEN(VLOOKUP($A272,Questions!$B:$AA,24,FALSE))=0,"",VLOOKUP($A272,Questions!$B:$AA,24,FALSE))</f>
        <v xml:space="preserve"> </v>
      </c>
      <c r="H272" s="32" t="str">
        <f>IF(LEN(VLOOKUP($A272,Questions!$B:$AA,25,FALSE))=0,"",VLOOKUP($A272,Questions!$B:$AA,25,FALSE))</f>
        <v xml:space="preserve"> </v>
      </c>
      <c r="I272" s="30" t="str">
        <f>IF(LEN(VLOOKUP($A272,Questions!$B:$AA,26,FALSE))=0,"",VLOOKUP($A272,Questions!$B:$AA,26,FALSE))</f>
        <v xml:space="preserve"> </v>
      </c>
      <c r="J272" s="30" t="str">
        <f>IF(LEN(VLOOKUP($A272,Questions!$B:$AB,27,FALSE))=0,"",VLOOKUP($A272,Questions!$B:$AB,27,FALSE))</f>
        <v xml:space="preserve"> </v>
      </c>
      <c r="K272"/>
    </row>
    <row r="273" spans="1:11" ht="36" customHeight="1">
      <c r="A273" s="10" t="s">
        <v>499</v>
      </c>
      <c r="B273" s="23" t="str">
        <f>VLOOKUP(A273,'HECVAT - Full | Vendor Response'!A$27:B$284,2,FALSE)</f>
        <v>Are you classified as a service provider?</v>
      </c>
      <c r="C273" s="31" t="str">
        <f>IF(LEN(VLOOKUP($A273,Questions!$B:$AA,20,FALSE))=0,"",VLOOKUP($A273,Questions!$B:$AA,20,FALSE))</f>
        <v xml:space="preserve"> </v>
      </c>
      <c r="D273" s="32" t="str">
        <f>IF(LEN(VLOOKUP($A273,Questions!$B:$AA,21,FALSE))=0,"",VLOOKUP($A273,Questions!$B:$AA,21,FALSE))</f>
        <v xml:space="preserve"> </v>
      </c>
      <c r="E273" s="32" t="str">
        <f>IF(LEN(VLOOKUP($A273,Questions!$B:$AA,22,FALSE))=0,"",VLOOKUP($A273,Questions!$B:$AA,22,FALSE))</f>
        <v xml:space="preserve"> </v>
      </c>
      <c r="F273" s="30" t="str">
        <f>IF(LEN(VLOOKUP($A273,Questions!$B:$AA,23,FALSE))=0,"",VLOOKUP($A273,Questions!$B:$AA,23,FALSE))</f>
        <v xml:space="preserve"> </v>
      </c>
      <c r="G273" s="31" t="str">
        <f>IF(LEN(VLOOKUP($A273,Questions!$B:$AA,24,FALSE))=0,"",VLOOKUP($A273,Questions!$B:$AA,24,FALSE))</f>
        <v xml:space="preserve"> </v>
      </c>
      <c r="H273" s="32" t="str">
        <f>IF(LEN(VLOOKUP($A273,Questions!$B:$AA,25,FALSE))=0,"",VLOOKUP($A273,Questions!$B:$AA,25,FALSE))</f>
        <v xml:space="preserve"> </v>
      </c>
      <c r="I273" s="30" t="str">
        <f>IF(LEN(VLOOKUP($A273,Questions!$B:$AA,26,FALSE))=0,"",VLOOKUP($A273,Questions!$B:$AA,26,FALSE))</f>
        <v xml:space="preserve"> </v>
      </c>
      <c r="J273" s="30" t="str">
        <f>IF(LEN(VLOOKUP($A273,Questions!$B:$AB,27,FALSE))=0,"",VLOOKUP($A273,Questions!$B:$AB,27,FALSE))</f>
        <v xml:space="preserve"> </v>
      </c>
      <c r="K273"/>
    </row>
    <row r="274" spans="1:11" ht="36" customHeight="1">
      <c r="A274" s="10" t="s">
        <v>500</v>
      </c>
      <c r="B274" s="23" t="str">
        <f>VLOOKUP(A274,'HECVAT - Full | Vendor Response'!A$27:B$284,2,FALSE)</f>
        <v xml:space="preserve">Are you on the list of VISA approved service providers? </v>
      </c>
      <c r="C274" s="31" t="str">
        <f>IF(LEN(VLOOKUP($A274,Questions!$B:$AA,20,FALSE))=0,"",VLOOKUP($A274,Questions!$B:$AA,20,FALSE))</f>
        <v xml:space="preserve"> </v>
      </c>
      <c r="D274" s="32" t="str">
        <f>IF(LEN(VLOOKUP($A274,Questions!$B:$AA,21,FALSE))=0,"",VLOOKUP($A274,Questions!$B:$AA,21,FALSE))</f>
        <v xml:space="preserve"> </v>
      </c>
      <c r="E274" s="32" t="str">
        <f>IF(LEN(VLOOKUP($A274,Questions!$B:$AA,22,FALSE))=0,"",VLOOKUP($A274,Questions!$B:$AA,22,FALSE))</f>
        <v xml:space="preserve"> </v>
      </c>
      <c r="F274" s="30" t="str">
        <f>IF(LEN(VLOOKUP($A274,Questions!$B:$AA,23,FALSE))=0,"",VLOOKUP($A274,Questions!$B:$AA,23,FALSE))</f>
        <v xml:space="preserve"> </v>
      </c>
      <c r="G274" s="31" t="str">
        <f>IF(LEN(VLOOKUP($A274,Questions!$B:$AA,24,FALSE))=0,"",VLOOKUP($A274,Questions!$B:$AA,24,FALSE))</f>
        <v xml:space="preserve"> </v>
      </c>
      <c r="H274" s="32" t="str">
        <f>IF(LEN(VLOOKUP($A274,Questions!$B:$AA,25,FALSE))=0,"",VLOOKUP($A274,Questions!$B:$AA,25,FALSE))</f>
        <v xml:space="preserve"> </v>
      </c>
      <c r="I274" s="30" t="str">
        <f>IF(LEN(VLOOKUP($A274,Questions!$B:$AA,26,FALSE))=0,"",VLOOKUP($A274,Questions!$B:$AA,26,FALSE))</f>
        <v xml:space="preserve"> </v>
      </c>
      <c r="J274" s="30" t="str">
        <f>IF(LEN(VLOOKUP($A274,Questions!$B:$AB,27,FALSE))=0,"",VLOOKUP($A274,Questions!$B:$AB,27,FALSE))</f>
        <v xml:space="preserve"> </v>
      </c>
      <c r="K274"/>
    </row>
    <row r="275" spans="1:11" ht="36" customHeight="1">
      <c r="A275" s="10" t="s">
        <v>501</v>
      </c>
      <c r="B275" s="23" t="str">
        <f>VLOOKUP(A275,'HECVAT - Full | Vendor Response'!A$27:B$284,2,FALSE)</f>
        <v>Are you classified as a merchant? If so, what level (1, 2, 3, 4)?</v>
      </c>
      <c r="C275" s="31" t="str">
        <f>IF(LEN(VLOOKUP($A275,Questions!$B:$AA,20,FALSE))=0,"",VLOOKUP($A275,Questions!$B:$AA,20,FALSE))</f>
        <v xml:space="preserve"> </v>
      </c>
      <c r="D275" s="32" t="str">
        <f>IF(LEN(VLOOKUP($A275,Questions!$B:$AA,21,FALSE))=0,"",VLOOKUP($A275,Questions!$B:$AA,21,FALSE))</f>
        <v xml:space="preserve"> </v>
      </c>
      <c r="E275" s="32" t="str">
        <f>IF(LEN(VLOOKUP($A275,Questions!$B:$AA,22,FALSE))=0,"",VLOOKUP($A275,Questions!$B:$AA,22,FALSE))</f>
        <v xml:space="preserve"> </v>
      </c>
      <c r="F275" s="30" t="str">
        <f>IF(LEN(VLOOKUP($A275,Questions!$B:$AA,23,FALSE))=0,"",VLOOKUP($A275,Questions!$B:$AA,23,FALSE))</f>
        <v xml:space="preserve"> </v>
      </c>
      <c r="G275" s="31" t="str">
        <f>IF(LEN(VLOOKUP($A275,Questions!$B:$AA,24,FALSE))=0,"",VLOOKUP($A275,Questions!$B:$AA,24,FALSE))</f>
        <v xml:space="preserve"> </v>
      </c>
      <c r="H275" s="32" t="str">
        <f>IF(LEN(VLOOKUP($A275,Questions!$B:$AA,25,FALSE))=0,"",VLOOKUP($A275,Questions!$B:$AA,25,FALSE))</f>
        <v xml:space="preserve"> </v>
      </c>
      <c r="I275" s="30" t="str">
        <f>IF(LEN(VLOOKUP($A275,Questions!$B:$AA,26,FALSE))=0,"",VLOOKUP($A275,Questions!$B:$AA,26,FALSE))</f>
        <v xml:space="preserve"> </v>
      </c>
      <c r="J275" s="30" t="str">
        <f>IF(LEN(VLOOKUP($A275,Questions!$B:$AB,27,FALSE))=0,"",VLOOKUP($A275,Questions!$B:$AB,27,FALSE))</f>
        <v xml:space="preserve"> </v>
      </c>
      <c r="K275"/>
    </row>
    <row r="276" spans="1:11" ht="64.5" customHeight="1">
      <c r="A276" s="10" t="s">
        <v>502</v>
      </c>
      <c r="B276" s="23" t="str">
        <f>VLOOKUP(A276,'HECVAT - Full | Vendor Response'!A$27:B$284,2,FALSE)</f>
        <v>Describe the architecture employed by the system to verify and authorize credit card transactions.</v>
      </c>
      <c r="C276" s="30" t="str">
        <f>IF(LEN(VLOOKUP($A276,Questions!$B:$AA,20,FALSE))=0,"",VLOOKUP($A276,Questions!$B:$AA,20,FALSE))</f>
        <v xml:space="preserve"> </v>
      </c>
      <c r="D276" s="32" t="str">
        <f>IF(LEN(VLOOKUP($A276,Questions!$B:$AA,21,FALSE))=0,"",VLOOKUP($A276,Questions!$B:$AA,21,FALSE))</f>
        <v xml:space="preserve"> </v>
      </c>
      <c r="E276" s="32" t="str">
        <f>IF(LEN(VLOOKUP($A276,Questions!$B:$AA,22,FALSE))=0,"",VLOOKUP($A276,Questions!$B:$AA,22,FALSE))</f>
        <v xml:space="preserve"> </v>
      </c>
      <c r="F276" s="30" t="str">
        <f>IF(LEN(VLOOKUP($A276,Questions!$B:$AA,23,FALSE))=0,"",VLOOKUP($A276,Questions!$B:$AA,23,FALSE))</f>
        <v xml:space="preserve"> </v>
      </c>
      <c r="G276" s="32" t="str">
        <f>IF(LEN(VLOOKUP($A276,Questions!$B:$AA,24,FALSE))=0,"",VLOOKUP($A276,Questions!$B:$AA,24,FALSE))</f>
        <v xml:space="preserve"> </v>
      </c>
      <c r="H276" s="32" t="str">
        <f>IF(LEN(VLOOKUP($A276,Questions!$B:$AA,25,FALSE))=0,"",VLOOKUP($A276,Questions!$B:$AA,25,FALSE))</f>
        <v xml:space="preserve"> </v>
      </c>
      <c r="I276" s="30" t="str">
        <f>IF(LEN(VLOOKUP($A276,Questions!$B:$AA,26,FALSE))=0,"",VLOOKUP($A276,Questions!$B:$AA,26,FALSE))</f>
        <v xml:space="preserve"> </v>
      </c>
      <c r="J276" s="30" t="str">
        <f>IF(LEN(VLOOKUP($A276,Questions!$B:$AB,27,FALSE))=0,"",VLOOKUP($A276,Questions!$B:$AB,27,FALSE))</f>
        <v xml:space="preserve"> </v>
      </c>
      <c r="K276"/>
    </row>
    <row r="277" spans="1:11" ht="64.5" customHeight="1">
      <c r="A277" s="10" t="s">
        <v>503</v>
      </c>
      <c r="B277" s="23" t="str">
        <f>VLOOKUP(A277,'HECVAT - Full | Vendor Response'!A$27:B$284,2,FALSE)</f>
        <v xml:space="preserve">What payment processors/gateways does the system support? </v>
      </c>
      <c r="C277" s="30" t="str">
        <f>IF(LEN(VLOOKUP($A277,Questions!$B:$AA,20,FALSE))=0,"",VLOOKUP($A277,Questions!$B:$AA,20,FALSE))</f>
        <v xml:space="preserve"> </v>
      </c>
      <c r="D277" s="32" t="str">
        <f>IF(LEN(VLOOKUP($A277,Questions!$B:$AA,21,FALSE))=0,"",VLOOKUP($A277,Questions!$B:$AA,21,FALSE))</f>
        <v xml:space="preserve"> </v>
      </c>
      <c r="E277" s="32" t="str">
        <f>IF(LEN(VLOOKUP($A277,Questions!$B:$AA,22,FALSE))=0,"",VLOOKUP($A277,Questions!$B:$AA,22,FALSE))</f>
        <v xml:space="preserve"> </v>
      </c>
      <c r="F277" s="30" t="str">
        <f>IF(LEN(VLOOKUP($A277,Questions!$B:$AA,23,FALSE))=0,"",VLOOKUP($A277,Questions!$B:$AA,23,FALSE))</f>
        <v xml:space="preserve"> </v>
      </c>
      <c r="G277" s="32" t="str">
        <f>IF(LEN(VLOOKUP($A277,Questions!$B:$AA,24,FALSE))=0,"",VLOOKUP($A277,Questions!$B:$AA,24,FALSE))</f>
        <v xml:space="preserve"> </v>
      </c>
      <c r="H277" s="32" t="str">
        <f>IF(LEN(VLOOKUP($A277,Questions!$B:$AA,25,FALSE))=0,"",VLOOKUP($A277,Questions!$B:$AA,25,FALSE))</f>
        <v xml:space="preserve"> </v>
      </c>
      <c r="I277" s="30" t="str">
        <f>IF(LEN(VLOOKUP($A277,Questions!$B:$AA,26,FALSE))=0,"",VLOOKUP($A277,Questions!$B:$AA,26,FALSE))</f>
        <v xml:space="preserve"> </v>
      </c>
      <c r="J277" s="30" t="str">
        <f>IF(LEN(VLOOKUP($A277,Questions!$B:$AB,27,FALSE))=0,"",VLOOKUP($A277,Questions!$B:$AB,27,FALSE))</f>
        <v xml:space="preserve"> </v>
      </c>
      <c r="K277"/>
    </row>
    <row r="278" spans="1:11" ht="36" customHeight="1">
      <c r="A278" s="10" t="s">
        <v>504</v>
      </c>
      <c r="B278" s="23" t="str">
        <f>VLOOKUP(A278,'HECVAT - Full | Vendor Response'!A$27:B$284,2,FALSE)</f>
        <v>Can the application be installed in a PCI DSS–compliant manner ?</v>
      </c>
      <c r="C278" s="30" t="str">
        <f>IF(LEN(VLOOKUP($A278,Questions!$B:$AA,20,FALSE))=0,"",VLOOKUP($A278,Questions!$B:$AA,20,FALSE))</f>
        <v xml:space="preserve"> </v>
      </c>
      <c r="D278" s="32" t="str">
        <f>IF(LEN(VLOOKUP($A278,Questions!$B:$AA,21,FALSE))=0,"",VLOOKUP($A278,Questions!$B:$AA,21,FALSE))</f>
        <v xml:space="preserve"> </v>
      </c>
      <c r="E278" s="32" t="str">
        <f>IF(LEN(VLOOKUP($A278,Questions!$B:$AA,22,FALSE))=0,"",VLOOKUP($A278,Questions!$B:$AA,22,FALSE))</f>
        <v xml:space="preserve"> </v>
      </c>
      <c r="F278" s="30" t="str">
        <f>IF(LEN(VLOOKUP($A278,Questions!$B:$AA,23,FALSE))=0,"",VLOOKUP($A278,Questions!$B:$AA,23,FALSE))</f>
        <v xml:space="preserve"> </v>
      </c>
      <c r="G278" s="31" t="str">
        <f>IF(LEN(VLOOKUP($A278,Questions!$B:$AA,24,FALSE))=0,"",VLOOKUP($A278,Questions!$B:$AA,24,FALSE))</f>
        <v xml:space="preserve"> </v>
      </c>
      <c r="H278" s="32" t="str">
        <f>IF(LEN(VLOOKUP($A278,Questions!$B:$AA,25,FALSE))=0,"",VLOOKUP($A278,Questions!$B:$AA,25,FALSE))</f>
        <v xml:space="preserve"> </v>
      </c>
      <c r="I278" s="30" t="str">
        <f>IF(LEN(VLOOKUP($A278,Questions!$B:$AA,26,FALSE))=0,"",VLOOKUP($A278,Questions!$B:$AA,26,FALSE))</f>
        <v xml:space="preserve"> </v>
      </c>
      <c r="J278" s="30" t="str">
        <f>IF(LEN(VLOOKUP($A278,Questions!$B:$AB,27,FALSE))=0,"",VLOOKUP($A278,Questions!$B:$AB,27,FALSE))</f>
        <v xml:space="preserve"> </v>
      </c>
      <c r="K278"/>
    </row>
    <row r="279" spans="1:11" ht="36" customHeight="1">
      <c r="A279" s="10" t="s">
        <v>505</v>
      </c>
      <c r="B279" s="23" t="str">
        <f>VLOOKUP(A279,'HECVAT - Full | Vendor Response'!A$27:B$284,2,FALSE)</f>
        <v xml:space="preserve">Is the application listed as an approved Payment Application Data Security Standard (PA-DSS) application? </v>
      </c>
      <c r="C279" s="31" t="str">
        <f>IF(LEN(VLOOKUP($A279,Questions!$B:$AA,20,FALSE))=0,"",VLOOKUP($A279,Questions!$B:$AA,20,FALSE))</f>
        <v xml:space="preserve"> </v>
      </c>
      <c r="D279" s="32" t="str">
        <f>IF(LEN(VLOOKUP($A279,Questions!$B:$AA,21,FALSE))=0,"",VLOOKUP($A279,Questions!$B:$AA,21,FALSE))</f>
        <v xml:space="preserve"> </v>
      </c>
      <c r="E279" s="32" t="str">
        <f>IF(LEN(VLOOKUP($A279,Questions!$B:$AA,22,FALSE))=0,"",VLOOKUP($A279,Questions!$B:$AA,22,FALSE))</f>
        <v xml:space="preserve"> </v>
      </c>
      <c r="F279" s="30" t="str">
        <f>IF(LEN(VLOOKUP($A279,Questions!$B:$AA,23,FALSE))=0,"",VLOOKUP($A279,Questions!$B:$AA,23,FALSE))</f>
        <v xml:space="preserve"> </v>
      </c>
      <c r="G279" s="31" t="str">
        <f>IF(LEN(VLOOKUP($A279,Questions!$B:$AA,24,FALSE))=0,"",VLOOKUP($A279,Questions!$B:$AA,24,FALSE))</f>
        <v xml:space="preserve"> </v>
      </c>
      <c r="H279" s="32" t="str">
        <f>IF(LEN(VLOOKUP($A279,Questions!$B:$AA,25,FALSE))=0,"",VLOOKUP($A279,Questions!$B:$AA,25,FALSE))</f>
        <v xml:space="preserve"> </v>
      </c>
      <c r="I279" s="30" t="str">
        <f>IF(LEN(VLOOKUP($A279,Questions!$B:$AA,26,FALSE))=0,"",VLOOKUP($A279,Questions!$B:$AA,26,FALSE))</f>
        <v xml:space="preserve"> </v>
      </c>
      <c r="J279" s="30" t="str">
        <f>IF(LEN(VLOOKUP($A279,Questions!$B:$AB,27,FALSE))=0,"",VLOOKUP($A279,Questions!$B:$AB,27,FALSE))</f>
        <v xml:space="preserve"> </v>
      </c>
      <c r="K279"/>
    </row>
    <row r="280" spans="1:11" ht="54" customHeight="1">
      <c r="A280" s="10" t="s">
        <v>506</v>
      </c>
      <c r="B280" s="23" t="str">
        <f>VLOOKUP(A280,'HECVAT - Full | Vendor Response'!A$27:B$284,2,FALSE)</f>
        <v>Does the system or products use a third party to collect, store, process, or transmit cardholder (payment/credit/debt card) data?</v>
      </c>
      <c r="C280" s="30" t="str">
        <f>IF(LEN(VLOOKUP($A280,Questions!$B:$AA,20,FALSE))=0,"",VLOOKUP($A280,Questions!$B:$AA,20,FALSE))</f>
        <v xml:space="preserve"> </v>
      </c>
      <c r="D280" s="32" t="str">
        <f>IF(LEN(VLOOKUP($A280,Questions!$B:$AA,21,FALSE))=0,"",VLOOKUP($A280,Questions!$B:$AA,21,FALSE))</f>
        <v xml:space="preserve"> </v>
      </c>
      <c r="E280" s="32" t="str">
        <f>IF(LEN(VLOOKUP($A280,Questions!$B:$AA,22,FALSE))=0,"",VLOOKUP($A280,Questions!$B:$AA,22,FALSE))</f>
        <v xml:space="preserve"> </v>
      </c>
      <c r="F280" s="30" t="str">
        <f>IF(LEN(VLOOKUP($A280,Questions!$B:$AA,23,FALSE))=0,"",VLOOKUP($A280,Questions!$B:$AA,23,FALSE))</f>
        <v xml:space="preserve"> </v>
      </c>
      <c r="G280" s="31" t="str">
        <f>IF(LEN(VLOOKUP($A280,Questions!$B:$AA,24,FALSE))=0,"",VLOOKUP($A280,Questions!$B:$AA,24,FALSE))</f>
        <v xml:space="preserve"> </v>
      </c>
      <c r="H280" s="32" t="str">
        <f>IF(LEN(VLOOKUP($A280,Questions!$B:$AA,25,FALSE))=0,"",VLOOKUP($A280,Questions!$B:$AA,25,FALSE))</f>
        <v xml:space="preserve"> </v>
      </c>
      <c r="I280" s="30" t="str">
        <f>IF(LEN(VLOOKUP($A280,Questions!$B:$AA,26,FALSE))=0,"",VLOOKUP($A280,Questions!$B:$AA,26,FALSE))</f>
        <v xml:space="preserve"> </v>
      </c>
      <c r="J280" s="30" t="str">
        <f>IF(LEN(VLOOKUP($A280,Questions!$B:$AB,27,FALSE))=0,"",VLOOKUP($A280,Questions!$B:$AB,27,FALSE))</f>
        <v xml:space="preserve"> </v>
      </c>
      <c r="K280"/>
    </row>
    <row r="281" spans="1:11" ht="64.5" customHeight="1">
      <c r="A281" s="10" t="s">
        <v>507</v>
      </c>
      <c r="B281" s="23" t="str">
        <f>VLOOKUP(A281,'HECVAT - Full | Vendor Response'!A$27:B$284,2,FALSE)</f>
        <v xml:space="preserve">Include documentation describing the systems' abilities to comply with the PCI DSS and any features or capabilities of the system that must be added or changed in order to operate in compliance with the standards. </v>
      </c>
      <c r="C281" s="30" t="str">
        <f>IF(LEN(VLOOKUP($A281,Questions!$B:$AA,20,FALSE))=0,"",VLOOKUP($A281,Questions!$B:$AA,20,FALSE))</f>
        <v/>
      </c>
      <c r="D281" s="32" t="str">
        <f>IF(LEN(VLOOKUP($A281,Questions!$B:$AA,21,FALSE))=0,"",VLOOKUP($A281,Questions!$B:$AA,21,FALSE))</f>
        <v xml:space="preserve"> </v>
      </c>
      <c r="E281" s="32" t="str">
        <f>IF(LEN(VLOOKUP($A281,Questions!$B:$AA,22,FALSE))=0,"",VLOOKUP($A281,Questions!$B:$AA,22,FALSE))</f>
        <v xml:space="preserve"> </v>
      </c>
      <c r="F281" s="30" t="str">
        <f>IF(LEN(VLOOKUP($A281,Questions!$B:$AA,23,FALSE))=0,"",VLOOKUP($A281,Questions!$B:$AA,23,FALSE))</f>
        <v xml:space="preserve"> </v>
      </c>
      <c r="G281" s="32" t="str">
        <f>IF(LEN(VLOOKUP($A281,Questions!$B:$AA,24,FALSE))=0,"",VLOOKUP($A281,Questions!$B:$AA,24,FALSE))</f>
        <v xml:space="preserve"> </v>
      </c>
      <c r="H281" s="32" t="str">
        <f>IF(LEN(VLOOKUP($A281,Questions!$B:$AA,25,FALSE))=0,"",VLOOKUP($A281,Questions!$B:$AA,25,FALSE))</f>
        <v xml:space="preserve"> </v>
      </c>
      <c r="I281" s="30" t="str">
        <f>IF(LEN(VLOOKUP($A281,Questions!$B:$AA,26,FALSE))=0,"",VLOOKUP($A281,Questions!$B:$AA,26,FALSE))</f>
        <v xml:space="preserve"> </v>
      </c>
      <c r="J281" s="30" t="str">
        <f>IF(LEN(VLOOKUP($A281,Questions!$B:$AB,27,FALSE))=0,"",VLOOKUP($A281,Questions!$B:$AB,27,FALSE))</f>
        <v xml:space="preserve"> </v>
      </c>
      <c r="K281" s="238" t="s">
        <v>3325</v>
      </c>
    </row>
    <row r="282" spans="1:11" ht="15" customHeight="1">
      <c r="A282" s="237" t="s">
        <v>545</v>
      </c>
    </row>
  </sheetData>
  <mergeCells count="21">
    <mergeCell ref="A137:B137"/>
    <mergeCell ref="A121:B121"/>
    <mergeCell ref="A221:B221"/>
    <mergeCell ref="A204:B204"/>
    <mergeCell ref="A180:B180"/>
    <mergeCell ref="A192:B192"/>
    <mergeCell ref="A239:B239"/>
    <mergeCell ref="A269:B269"/>
    <mergeCell ref="A226:B226"/>
    <mergeCell ref="A232:B232"/>
    <mergeCell ref="A162:B162"/>
    <mergeCell ref="A2:J2"/>
    <mergeCell ref="A3:H3"/>
    <mergeCell ref="A110:B110"/>
    <mergeCell ref="A90:B90"/>
    <mergeCell ref="A75:B75"/>
    <mergeCell ref="A65:B65"/>
    <mergeCell ref="A60:B60"/>
    <mergeCell ref="A38:B38"/>
    <mergeCell ref="A32:B32"/>
    <mergeCell ref="A50:B50"/>
  </mergeCells>
  <conditionalFormatting sqref="A50">
    <cfRule type="expression" dxfId="75" priority="33">
      <formula>$C$27="No"</formula>
    </cfRule>
  </conditionalFormatting>
  <conditionalFormatting sqref="A60">
    <cfRule type="expression" dxfId="74" priority="357">
      <formula>$C$27="No"</formula>
    </cfRule>
  </conditionalFormatting>
  <conditionalFormatting sqref="A65">
    <cfRule type="expression" dxfId="73" priority="337">
      <formula>$C$31="No"</formula>
    </cfRule>
  </conditionalFormatting>
  <conditionalFormatting sqref="A110">
    <cfRule type="expression" dxfId="72" priority="329">
      <formula>$C$28="No"</formula>
    </cfRule>
  </conditionalFormatting>
  <conditionalFormatting sqref="A123 C123:G123">
    <cfRule type="expression" dxfId="71" priority="206">
      <formula>$C$122="No"</formula>
    </cfRule>
  </conditionalFormatting>
  <conditionalFormatting sqref="A167:A168">
    <cfRule type="expression" dxfId="70" priority="306">
      <formula>$C$166="No"</formula>
    </cfRule>
  </conditionalFormatting>
  <conditionalFormatting sqref="A168">
    <cfRule type="expression" dxfId="69" priority="305">
      <formula>$C$167="No"</formula>
    </cfRule>
  </conditionalFormatting>
  <conditionalFormatting sqref="A172">
    <cfRule type="expression" dxfId="68" priority="353">
      <formula>$C$171="No"</formula>
    </cfRule>
  </conditionalFormatting>
  <conditionalFormatting sqref="A178">
    <cfRule type="expression" dxfId="67" priority="332">
      <formula>$C$177="No"</formula>
    </cfRule>
  </conditionalFormatting>
  <conditionalFormatting sqref="A180">
    <cfRule type="expression" dxfId="66" priority="356">
      <formula>$C$29="No"</formula>
    </cfRule>
  </conditionalFormatting>
  <conditionalFormatting sqref="A203 C203:G203">
    <cfRule type="expression" dxfId="65" priority="200">
      <formula>$C$202="No"</formula>
    </cfRule>
  </conditionalFormatting>
  <conditionalFormatting sqref="A234 C234:G234">
    <cfRule type="expression" dxfId="64" priority="194">
      <formula>$C$233="No"</formula>
    </cfRule>
  </conditionalFormatting>
  <conditionalFormatting sqref="A237 C237:G237">
    <cfRule type="expression" dxfId="63" priority="195">
      <formula>$C$236="No"</formula>
    </cfRule>
  </conditionalFormatting>
  <conditionalFormatting sqref="A239">
    <cfRule type="expression" dxfId="62" priority="358">
      <formula>$C$25="No"</formula>
    </cfRule>
  </conditionalFormatting>
  <conditionalFormatting sqref="A247:A248">
    <cfRule type="expression" dxfId="61" priority="285">
      <formula>$C$246="No"</formula>
    </cfRule>
  </conditionalFormatting>
  <conditionalFormatting sqref="A248">
    <cfRule type="expression" dxfId="60" priority="286">
      <formula>$C$247="No"</formula>
    </cfRule>
  </conditionalFormatting>
  <conditionalFormatting sqref="A264">
    <cfRule type="expression" dxfId="59" priority="327">
      <formula>$C$263="No"</formula>
    </cfRule>
  </conditionalFormatting>
  <conditionalFormatting sqref="A267:A268">
    <cfRule type="expression" dxfId="58" priority="282">
      <formula>$C$266="No"</formula>
    </cfRule>
  </conditionalFormatting>
  <conditionalFormatting sqref="A269">
    <cfRule type="expression" dxfId="57" priority="343">
      <formula>$C$30="No"</formula>
    </cfRule>
  </conditionalFormatting>
  <conditionalFormatting sqref="A75:B75 A90:B90 A110:B110 A121:B121 A137:B137 A162:B162 A180:B180 A192:B192 A204:B204 A226:B226 A239:B239 A269:B269">
    <cfRule type="expression" dxfId="56" priority="321">
      <formula>$C$31="Yes"</formula>
    </cfRule>
  </conditionalFormatting>
  <conditionalFormatting sqref="A221:B221">
    <cfRule type="expression" dxfId="55" priority="27">
      <formula>$C$31="Yes"</formula>
    </cfRule>
  </conditionalFormatting>
  <conditionalFormatting sqref="A232:B232">
    <cfRule type="expression" dxfId="54" priority="318">
      <formula>$C$31="Yes"</formula>
    </cfRule>
  </conditionalFormatting>
  <conditionalFormatting sqref="C161:D161">
    <cfRule type="expression" dxfId="53" priority="335">
      <formula>$C$160="No"</formula>
    </cfRule>
  </conditionalFormatting>
  <conditionalFormatting sqref="C222:D225">
    <cfRule type="expression" dxfId="52" priority="5">
      <formula>$C$219="No"</formula>
    </cfRule>
  </conditionalFormatting>
  <conditionalFormatting sqref="C72:H72">
    <cfRule type="expression" dxfId="51" priority="339">
      <formula>$C$71="No"</formula>
    </cfRule>
  </conditionalFormatting>
  <conditionalFormatting sqref="C101:H101">
    <cfRule type="expression" dxfId="50" priority="208">
      <formula>$C$100="No"</formula>
    </cfRule>
  </conditionalFormatting>
  <conditionalFormatting sqref="C103:H104">
    <cfRule type="expression" dxfId="49" priority="218">
      <formula>$C$102="No"</formula>
    </cfRule>
  </conditionalFormatting>
  <conditionalFormatting sqref="C149:H149">
    <cfRule type="expression" dxfId="48" priority="205">
      <formula>$C$148="No"</formula>
    </cfRule>
  </conditionalFormatting>
  <conditionalFormatting sqref="C167:H168">
    <cfRule type="expression" dxfId="47" priority="203">
      <formula>$C$166="No"</formula>
    </cfRule>
  </conditionalFormatting>
  <conditionalFormatting sqref="C168:H168">
    <cfRule type="expression" dxfId="46" priority="202">
      <formula>$C$167="No"</formula>
    </cfRule>
  </conditionalFormatting>
  <conditionalFormatting sqref="C172:H172">
    <cfRule type="expression" dxfId="45" priority="219">
      <formula>$C$171="No"</formula>
    </cfRule>
  </conditionalFormatting>
  <conditionalFormatting sqref="C178:H178">
    <cfRule type="expression" dxfId="44" priority="213">
      <formula>$C$177="No"</formula>
    </cfRule>
  </conditionalFormatting>
  <conditionalFormatting sqref="C186:H186 I187:J188">
    <cfRule type="expression" dxfId="43" priority="67">
      <formula>$C$185="No"</formula>
    </cfRule>
  </conditionalFormatting>
  <conditionalFormatting sqref="C247:H248">
    <cfRule type="expression" dxfId="42" priority="192">
      <formula>$C$246="No"</formula>
    </cfRule>
  </conditionalFormatting>
  <conditionalFormatting sqref="C248:H248">
    <cfRule type="expression" dxfId="41" priority="193">
      <formula>$C$247="No"</formula>
    </cfRule>
  </conditionalFormatting>
  <conditionalFormatting sqref="C264:H264">
    <cfRule type="expression" dxfId="40" priority="212">
      <formula>$C$263="No"</formula>
    </cfRule>
  </conditionalFormatting>
  <conditionalFormatting sqref="C267:H267">
    <cfRule type="expression" dxfId="39" priority="191">
      <formula>$C$266="No"</formula>
    </cfRule>
  </conditionalFormatting>
  <conditionalFormatting sqref="E66:E74">
    <cfRule type="expression" dxfId="38" priority="326">
      <formula>$C$31="No"</formula>
    </cfRule>
  </conditionalFormatting>
  <conditionalFormatting sqref="E77 E79 H79 E91:E109 E111:E120 H111:H120 I129:J129 I133:J136 E138:E161 H138:J161 H181:H191 I191:J191 E205:E220 H205:J220 H222:H225 E240:E268 H240:H268">
    <cfRule type="expression" dxfId="37" priority="8">
      <formula>$C$31="Yes"</formula>
    </cfRule>
  </conditionalFormatting>
  <conditionalFormatting sqref="E122:E136">
    <cfRule type="expression" dxfId="36" priority="312">
      <formula>$C$31="Yes"</formula>
    </cfRule>
  </conditionalFormatting>
  <conditionalFormatting sqref="E163:E179">
    <cfRule type="expression" dxfId="35" priority="354">
      <formula>$C$31="Yes"</formula>
    </cfRule>
  </conditionalFormatting>
  <conditionalFormatting sqref="E181:E191">
    <cfRule type="expression" dxfId="34" priority="349">
      <formula>$C$31="Yes"</formula>
    </cfRule>
  </conditionalFormatting>
  <conditionalFormatting sqref="E193:E203">
    <cfRule type="expression" dxfId="33" priority="302">
      <formula>$C$31="Yes"</formula>
    </cfRule>
  </conditionalFormatting>
  <conditionalFormatting sqref="E222:E225">
    <cfRule type="expression" dxfId="32" priority="6">
      <formula>$C$31="Yes"</formula>
    </cfRule>
  </conditionalFormatting>
  <conditionalFormatting sqref="E227:E231">
    <cfRule type="expression" dxfId="31" priority="291">
      <formula>$C$31="Yes"</formula>
    </cfRule>
  </conditionalFormatting>
  <conditionalFormatting sqref="E233:E238">
    <cfRule type="expression" dxfId="30" priority="346">
      <formula>$C$31="Yes"</formula>
    </cfRule>
  </conditionalFormatting>
  <conditionalFormatting sqref="E270:E281">
    <cfRule type="expression" dxfId="29" priority="283">
      <formula>$C$31="Yes"</formula>
    </cfRule>
  </conditionalFormatting>
  <conditionalFormatting sqref="E74:H74 C74">
    <cfRule type="expression" dxfId="28" priority="338">
      <formula>$C$73="No"</formula>
    </cfRule>
  </conditionalFormatting>
  <conditionalFormatting sqref="F161:G161">
    <cfRule type="expression" dxfId="27" priority="215">
      <formula>$C$160="No"</formula>
    </cfRule>
  </conditionalFormatting>
  <conditionalFormatting sqref="F222:G225">
    <cfRule type="expression" dxfId="26" priority="3">
      <formula>$C$219="No"</formula>
    </cfRule>
  </conditionalFormatting>
  <conditionalFormatting sqref="H77 D77:E77">
    <cfRule type="expression" dxfId="25" priority="352">
      <formula>$C$76="No"</formula>
    </cfRule>
  </conditionalFormatting>
  <conditionalFormatting sqref="H122:H136">
    <cfRule type="expression" dxfId="24" priority="244">
      <formula>$C$31="Yes"</formula>
    </cfRule>
  </conditionalFormatting>
  <conditionalFormatting sqref="H123">
    <cfRule type="expression" dxfId="23" priority="311">
      <formula>$C$122="No"</formula>
    </cfRule>
  </conditionalFormatting>
  <conditionalFormatting sqref="H193:H203">
    <cfRule type="expression" dxfId="22" priority="235">
      <formula>$C$31="Yes"</formula>
    </cfRule>
  </conditionalFormatting>
  <conditionalFormatting sqref="H203">
    <cfRule type="expression" dxfId="21" priority="301">
      <formula>$C$202="No"</formula>
    </cfRule>
  </conditionalFormatting>
  <conditionalFormatting sqref="H233:H238">
    <cfRule type="expression" dxfId="20" priority="270">
      <formula>$C$31="Yes"</formula>
    </cfRule>
  </conditionalFormatting>
  <conditionalFormatting sqref="H234">
    <cfRule type="expression" dxfId="19" priority="287">
      <formula>$C$233="No"</formula>
    </cfRule>
  </conditionalFormatting>
  <conditionalFormatting sqref="H237">
    <cfRule type="expression" dxfId="18" priority="288">
      <formula>$C$236="No"</formula>
    </cfRule>
  </conditionalFormatting>
  <conditionalFormatting sqref="H66:J74">
    <cfRule type="expression" dxfId="17" priority="68">
      <formula>$C$31="No"</formula>
    </cfRule>
  </conditionalFormatting>
  <conditionalFormatting sqref="H76:J77">
    <cfRule type="expression" dxfId="16" priority="64">
      <formula>$C$31="Yes"</formula>
    </cfRule>
  </conditionalFormatting>
  <conditionalFormatting sqref="H91:J109">
    <cfRule type="expression" dxfId="15" priority="7">
      <formula>$C$31="Yes"</formula>
    </cfRule>
  </conditionalFormatting>
  <conditionalFormatting sqref="H163:J179">
    <cfRule type="expression" dxfId="14" priority="53">
      <formula>$C$31="Yes"</formula>
    </cfRule>
  </conditionalFormatting>
  <conditionalFormatting sqref="H227:J231">
    <cfRule type="expression" dxfId="13" priority="44">
      <formula>$C$31="Yes"</formula>
    </cfRule>
  </conditionalFormatting>
  <conditionalFormatting sqref="H270:J281">
    <cfRule type="expression" dxfId="12" priority="35">
      <formula>$C$31="Yes"</formula>
    </cfRule>
  </conditionalFormatting>
  <conditionalFormatting sqref="I76:J77">
    <cfRule type="expression" dxfId="11" priority="65">
      <formula>$C$76="No"</formula>
    </cfRule>
  </conditionalFormatting>
  <conditionalFormatting sqref="I118:J120">
    <cfRule type="expression" dxfId="10" priority="61">
      <formula>$C$31="Yes"</formula>
    </cfRule>
  </conditionalFormatting>
  <conditionalFormatting sqref="I122:J126">
    <cfRule type="expression" dxfId="9" priority="60">
      <formula>$C$31="Yes"</formula>
    </cfRule>
  </conditionalFormatting>
  <conditionalFormatting sqref="I181:J184">
    <cfRule type="expression" dxfId="8" priority="51">
      <formula>$C$31="Yes"</formula>
    </cfRule>
    <cfRule type="expression" dxfId="7" priority="52">
      <formula>$C$185="No"</formula>
    </cfRule>
  </conditionalFormatting>
  <conditionalFormatting sqref="I187:J188">
    <cfRule type="expression" dxfId="6" priority="69">
      <formula>$C$31="Yes"</formula>
    </cfRule>
  </conditionalFormatting>
  <conditionalFormatting sqref="I191:J191">
    <cfRule type="expression" dxfId="5" priority="303">
      <formula>$C$185="No"</formula>
    </cfRule>
  </conditionalFormatting>
  <conditionalFormatting sqref="I222:J225">
    <cfRule type="expression" dxfId="4" priority="1">
      <formula>$C$219="No"</formula>
    </cfRule>
  </conditionalFormatting>
  <conditionalFormatting sqref="I240:J257">
    <cfRule type="expression" dxfId="3" priority="40">
      <formula>$C$31="Yes"</formula>
    </cfRule>
  </conditionalFormatting>
  <conditionalFormatting sqref="I249:J251">
    <cfRule type="expression" dxfId="2" priority="38">
      <formula>$C$246="No"</formula>
    </cfRule>
    <cfRule type="expression" dxfId="1" priority="39">
      <formula>$C$247="No"</formula>
    </cfRule>
  </conditionalFormatting>
  <conditionalFormatting sqref="I258:J268">
    <cfRule type="expression" dxfId="0" priority="37">
      <formula>$C$31="Yes"</formula>
    </cfRule>
  </conditionalFormatting>
  <pageMargins left="0.75" right="0.75" top="1" bottom="1" header="0.5" footer="0.5"/>
  <pageSetup orientation="landscape" r:id="rId1"/>
  <headerFooter>
    <oddFooter>&amp;L&amp;"Helvetica,Regular"&amp;12&amp;K000000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28"/>
  <sheetViews>
    <sheetView showGridLines="0" zoomScaleNormal="100" workbookViewId="0"/>
  </sheetViews>
  <sheetFormatPr defaultColWidth="0" defaultRowHeight="12.95" zeroHeight="1"/>
  <cols>
    <col min="1" max="1" width="79" style="248" customWidth="1"/>
    <col min="2" max="2" width="6.59765625" style="95" customWidth="1"/>
    <col min="3" max="16384" width="6.59765625" style="95" hidden="1"/>
  </cols>
  <sheetData>
    <row r="1" spans="1:1">
      <c r="A1" s="255" t="s">
        <v>3330</v>
      </c>
    </row>
    <row r="2" spans="1:1"/>
    <row r="3" spans="1:1"/>
    <row r="4" spans="1:1" ht="18.95">
      <c r="A4" s="247" t="s">
        <v>3331</v>
      </c>
    </row>
    <row r="5" spans="1:1" ht="14.1">
      <c r="A5" s="249"/>
    </row>
    <row r="6" spans="1:1" ht="30">
      <c r="A6" s="250" t="s">
        <v>3332</v>
      </c>
    </row>
    <row r="7" spans="1:1" ht="14.1">
      <c r="A7" s="250"/>
    </row>
    <row r="8" spans="1:1" ht="15">
      <c r="A8" s="249" t="s">
        <v>3333</v>
      </c>
    </row>
    <row r="9" spans="1:1" s="254" customFormat="1" ht="15">
      <c r="A9" s="253" t="s">
        <v>3334</v>
      </c>
    </row>
    <row r="10" spans="1:1" s="254" customFormat="1" ht="15">
      <c r="A10" s="253" t="s">
        <v>3335</v>
      </c>
    </row>
    <row r="11" spans="1:1" s="254" customFormat="1" ht="15">
      <c r="A11" s="253" t="s">
        <v>3336</v>
      </c>
    </row>
    <row r="12" spans="1:1" s="254" customFormat="1" ht="15">
      <c r="A12" s="253" t="s">
        <v>3337</v>
      </c>
    </row>
    <row r="13" spans="1:1" s="254" customFormat="1" ht="15">
      <c r="A13" s="253" t="s">
        <v>3338</v>
      </c>
    </row>
    <row r="14" spans="1:1" s="254" customFormat="1" ht="15">
      <c r="A14" s="253" t="s">
        <v>3339</v>
      </c>
    </row>
    <row r="15" spans="1:1" s="254" customFormat="1" ht="15">
      <c r="A15" s="253" t="s">
        <v>3340</v>
      </c>
    </row>
    <row r="16" spans="1:1" s="254" customFormat="1" ht="15">
      <c r="A16" s="253" t="s">
        <v>3341</v>
      </c>
    </row>
    <row r="17" spans="1:1" s="254" customFormat="1" ht="15">
      <c r="A17" s="253" t="s">
        <v>3342</v>
      </c>
    </row>
    <row r="18" spans="1:1" s="254" customFormat="1" ht="15">
      <c r="A18" s="253" t="s">
        <v>3343</v>
      </c>
    </row>
    <row r="19" spans="1:1" s="254" customFormat="1" ht="15">
      <c r="A19" s="253" t="s">
        <v>3344</v>
      </c>
    </row>
    <row r="20" spans="1:1" s="254" customFormat="1" ht="15">
      <c r="A20" s="253" t="s">
        <v>3345</v>
      </c>
    </row>
    <row r="21" spans="1:1" s="254" customFormat="1" ht="15">
      <c r="A21" s="253" t="s">
        <v>3346</v>
      </c>
    </row>
    <row r="22" spans="1:1" s="254" customFormat="1" ht="15">
      <c r="A22" s="253" t="s">
        <v>3347</v>
      </c>
    </row>
    <row r="23" spans="1:1" s="254" customFormat="1" ht="15">
      <c r="A23" s="253" t="s">
        <v>3348</v>
      </c>
    </row>
    <row r="24" spans="1:1" s="254" customFormat="1" ht="15">
      <c r="A24" s="253" t="s">
        <v>3349</v>
      </c>
    </row>
    <row r="25" spans="1:1" s="254" customFormat="1" ht="15">
      <c r="A25" s="253" t="s">
        <v>3350</v>
      </c>
    </row>
    <row r="26" spans="1:1" s="254" customFormat="1" ht="15">
      <c r="A26" s="253" t="s">
        <v>3351</v>
      </c>
    </row>
    <row r="27" spans="1:1" s="254" customFormat="1" ht="15">
      <c r="A27" s="253" t="s">
        <v>3352</v>
      </c>
    </row>
    <row r="28" spans="1:1" s="254" customFormat="1" ht="15">
      <c r="A28" s="253" t="s">
        <v>3353</v>
      </c>
    </row>
    <row r="29" spans="1:1" s="254" customFormat="1" ht="15">
      <c r="A29" s="253" t="s">
        <v>3354</v>
      </c>
    </row>
    <row r="30" spans="1:1" s="254" customFormat="1" ht="15">
      <c r="A30" s="253" t="s">
        <v>3355</v>
      </c>
    </row>
    <row r="31" spans="1:1" s="254" customFormat="1" ht="15">
      <c r="A31" s="253" t="s">
        <v>3356</v>
      </c>
    </row>
    <row r="32" spans="1:1" s="254" customFormat="1" ht="15">
      <c r="A32" s="253" t="s">
        <v>3357</v>
      </c>
    </row>
    <row r="33" spans="1:1" s="254" customFormat="1" ht="15">
      <c r="A33" s="253" t="s">
        <v>3358</v>
      </c>
    </row>
    <row r="34" spans="1:1" s="254" customFormat="1" ht="15">
      <c r="A34" s="253" t="s">
        <v>3359</v>
      </c>
    </row>
    <row r="35" spans="1:1" s="254" customFormat="1" ht="15">
      <c r="A35" s="253" t="s">
        <v>3360</v>
      </c>
    </row>
    <row r="36" spans="1:1" s="254" customFormat="1" ht="15">
      <c r="A36" s="253" t="s">
        <v>3361</v>
      </c>
    </row>
    <row r="37" spans="1:1" s="254" customFormat="1" ht="15">
      <c r="A37" s="253" t="s">
        <v>3362</v>
      </c>
    </row>
    <row r="38" spans="1:1" s="254" customFormat="1" ht="15">
      <c r="A38" s="253" t="s">
        <v>3363</v>
      </c>
    </row>
    <row r="39" spans="1:1" s="254" customFormat="1" ht="15">
      <c r="A39" s="253" t="s">
        <v>3364</v>
      </c>
    </row>
    <row r="40" spans="1:1" s="254" customFormat="1" ht="15">
      <c r="A40" s="253" t="s">
        <v>3365</v>
      </c>
    </row>
    <row r="41" spans="1:1" s="254" customFormat="1" ht="15">
      <c r="A41" s="253" t="s">
        <v>3366</v>
      </c>
    </row>
    <row r="42" spans="1:1" s="254" customFormat="1" ht="15">
      <c r="A42" s="253" t="s">
        <v>3367</v>
      </c>
    </row>
    <row r="43" spans="1:1" s="254" customFormat="1" ht="15">
      <c r="A43" s="253" t="s">
        <v>3368</v>
      </c>
    </row>
    <row r="44" spans="1:1" s="254" customFormat="1" ht="15">
      <c r="A44" s="253" t="s">
        <v>3369</v>
      </c>
    </row>
    <row r="45" spans="1:1" s="254" customFormat="1" ht="15">
      <c r="A45" s="253" t="s">
        <v>3370</v>
      </c>
    </row>
    <row r="46" spans="1:1" s="254" customFormat="1" ht="15">
      <c r="A46" s="253" t="s">
        <v>3371</v>
      </c>
    </row>
    <row r="47" spans="1:1" s="254" customFormat="1" ht="15">
      <c r="A47" s="253" t="s">
        <v>3372</v>
      </c>
    </row>
    <row r="48" spans="1:1" s="254" customFormat="1" ht="15">
      <c r="A48" s="253" t="s">
        <v>3373</v>
      </c>
    </row>
    <row r="50" spans="1:1" ht="15">
      <c r="A50" s="249" t="s">
        <v>3374</v>
      </c>
    </row>
    <row r="51" spans="1:1" ht="15">
      <c r="A51" s="253" t="s">
        <v>3375</v>
      </c>
    </row>
    <row r="52" spans="1:1" ht="15">
      <c r="A52" s="253" t="s">
        <v>3376</v>
      </c>
    </row>
    <row r="53" spans="1:1" ht="15">
      <c r="A53" s="253" t="s">
        <v>3377</v>
      </c>
    </row>
    <row r="54" spans="1:1" ht="15">
      <c r="A54" s="253" t="s">
        <v>3378</v>
      </c>
    </row>
    <row r="55" spans="1:1" ht="15">
      <c r="A55" s="253" t="s">
        <v>3379</v>
      </c>
    </row>
    <row r="56" spans="1:1" ht="15">
      <c r="A56" s="253" t="s">
        <v>3380</v>
      </c>
    </row>
    <row r="57" spans="1:1" ht="15">
      <c r="A57" s="253" t="s">
        <v>3381</v>
      </c>
    </row>
    <row r="58" spans="1:1" ht="15">
      <c r="A58" s="253" t="s">
        <v>3382</v>
      </c>
    </row>
    <row r="59" spans="1:1" ht="15">
      <c r="A59" s="253" t="s">
        <v>3383</v>
      </c>
    </row>
    <row r="60" spans="1:1" ht="15">
      <c r="A60" s="253" t="s">
        <v>3384</v>
      </c>
    </row>
    <row r="61" spans="1:1" ht="15">
      <c r="A61" s="253" t="s">
        <v>3385</v>
      </c>
    </row>
    <row r="62" spans="1:1" ht="15">
      <c r="A62" s="253" t="s">
        <v>3386</v>
      </c>
    </row>
    <row r="63" spans="1:1" ht="15">
      <c r="A63" s="253" t="s">
        <v>3387</v>
      </c>
    </row>
    <row r="64" spans="1:1" ht="15">
      <c r="A64" s="253" t="s">
        <v>3388</v>
      </c>
    </row>
    <row r="65" spans="1:1" ht="15">
      <c r="A65" s="253" t="s">
        <v>3389</v>
      </c>
    </row>
    <row r="66" spans="1:1" ht="15">
      <c r="A66" s="253" t="s">
        <v>3390</v>
      </c>
    </row>
    <row r="67" spans="1:1" ht="15">
      <c r="A67" s="253" t="s">
        <v>3391</v>
      </c>
    </row>
    <row r="68" spans="1:1" ht="15">
      <c r="A68" s="253" t="s">
        <v>3392</v>
      </c>
    </row>
    <row r="69" spans="1:1" ht="15">
      <c r="A69" s="253" t="s">
        <v>3393</v>
      </c>
    </row>
    <row r="70" spans="1:1" ht="15">
      <c r="A70" s="253" t="s">
        <v>3394</v>
      </c>
    </row>
    <row r="71" spans="1:1" ht="15">
      <c r="A71" s="253" t="s">
        <v>3395</v>
      </c>
    </row>
    <row r="72" spans="1:1" ht="15">
      <c r="A72" s="253" t="s">
        <v>3361</v>
      </c>
    </row>
    <row r="73" spans="1:1" ht="15">
      <c r="A73" s="253" t="s">
        <v>3396</v>
      </c>
    </row>
    <row r="74" spans="1:1" ht="15">
      <c r="A74" s="253" t="s">
        <v>3397</v>
      </c>
    </row>
    <row r="75" spans="1:1" ht="15">
      <c r="A75" s="253" t="s">
        <v>3398</v>
      </c>
    </row>
    <row r="76" spans="1:1" ht="15">
      <c r="A76" s="253" t="s">
        <v>3399</v>
      </c>
    </row>
    <row r="77" spans="1:1" ht="15">
      <c r="A77" s="253" t="s">
        <v>3400</v>
      </c>
    </row>
    <row r="78" spans="1:1" ht="14.1">
      <c r="A78" s="251"/>
    </row>
    <row r="79" spans="1:1" ht="15">
      <c r="A79" s="250" t="s">
        <v>3401</v>
      </c>
    </row>
    <row r="80" spans="1:1" ht="15">
      <c r="A80" s="253" t="s">
        <v>3402</v>
      </c>
    </row>
    <row r="81" spans="1:1" ht="15">
      <c r="A81" s="253" t="s">
        <v>3377</v>
      </c>
    </row>
    <row r="82" spans="1:1" ht="15">
      <c r="A82" s="253" t="s">
        <v>3380</v>
      </c>
    </row>
    <row r="83" spans="1:1" ht="15">
      <c r="A83" s="253" t="s">
        <v>3385</v>
      </c>
    </row>
    <row r="84" spans="1:1" ht="15">
      <c r="A84" s="253" t="s">
        <v>3403</v>
      </c>
    </row>
    <row r="85" spans="1:1" ht="15">
      <c r="A85" s="253" t="s">
        <v>3404</v>
      </c>
    </row>
    <row r="86" spans="1:1" ht="15">
      <c r="A86" s="253" t="s">
        <v>3405</v>
      </c>
    </row>
    <row r="87" spans="1:1" ht="15">
      <c r="A87" s="253" t="s">
        <v>3406</v>
      </c>
    </row>
    <row r="88" spans="1:1" ht="15">
      <c r="A88" s="253" t="s">
        <v>3392</v>
      </c>
    </row>
    <row r="89" spans="1:1" ht="15">
      <c r="A89" s="253" t="s">
        <v>3407</v>
      </c>
    </row>
    <row r="90" spans="1:1" ht="15">
      <c r="A90" s="253" t="s">
        <v>3408</v>
      </c>
    </row>
    <row r="91" spans="1:1" ht="15">
      <c r="A91" s="253" t="s">
        <v>3409</v>
      </c>
    </row>
    <row r="92" spans="1:1" ht="15">
      <c r="A92" s="253" t="s">
        <v>3400</v>
      </c>
    </row>
    <row r="93" spans="1:1" ht="15">
      <c r="A93" s="253" t="s">
        <v>3410</v>
      </c>
    </row>
    <row r="94" spans="1:1" ht="15">
      <c r="A94" s="253" t="s">
        <v>3411</v>
      </c>
    </row>
    <row r="95" spans="1:1" ht="14.1">
      <c r="A95" s="250"/>
    </row>
    <row r="96" spans="1:1" ht="15">
      <c r="A96" s="250" t="s">
        <v>3412</v>
      </c>
    </row>
    <row r="97" spans="1:1" ht="15">
      <c r="A97" s="253" t="s">
        <v>3402</v>
      </c>
    </row>
    <row r="98" spans="1:1" ht="15">
      <c r="A98" s="253" t="s">
        <v>3413</v>
      </c>
    </row>
    <row r="99" spans="1:1" ht="15">
      <c r="A99" s="253" t="s">
        <v>3414</v>
      </c>
    </row>
    <row r="100" spans="1:1" ht="15">
      <c r="A100" s="253" t="s">
        <v>3415</v>
      </c>
    </row>
    <row r="101" spans="1:1" ht="15">
      <c r="A101" s="253" t="s">
        <v>3416</v>
      </c>
    </row>
    <row r="102" spans="1:1" ht="15">
      <c r="A102" s="253" t="s">
        <v>3417</v>
      </c>
    </row>
    <row r="103" spans="1:1" ht="15">
      <c r="A103" s="253" t="s">
        <v>3385</v>
      </c>
    </row>
    <row r="104" spans="1:1" ht="15">
      <c r="A104" s="253" t="s">
        <v>3403</v>
      </c>
    </row>
    <row r="105" spans="1:1" ht="15">
      <c r="A105" s="253" t="s">
        <v>3404</v>
      </c>
    </row>
    <row r="106" spans="1:1" ht="15">
      <c r="A106" s="253" t="s">
        <v>3418</v>
      </c>
    </row>
    <row r="107" spans="1:1" ht="15">
      <c r="A107" s="253" t="s">
        <v>3419</v>
      </c>
    </row>
    <row r="108" spans="1:1" ht="15">
      <c r="A108" s="253" t="s">
        <v>3420</v>
      </c>
    </row>
    <row r="109" spans="1:1" ht="15">
      <c r="A109" s="253" t="s">
        <v>3406</v>
      </c>
    </row>
    <row r="110" spans="1:1" ht="15">
      <c r="A110" s="253" t="s">
        <v>3392</v>
      </c>
    </row>
    <row r="111" spans="1:1" ht="15">
      <c r="A111" s="253" t="s">
        <v>3421</v>
      </c>
    </row>
    <row r="112" spans="1:1" ht="15">
      <c r="A112" s="253" t="s">
        <v>3407</v>
      </c>
    </row>
    <row r="113" spans="1:1" ht="15">
      <c r="A113" s="253" t="s">
        <v>3400</v>
      </c>
    </row>
    <row r="114" spans="1:1" ht="14.1">
      <c r="A114" s="252"/>
    </row>
    <row r="115" spans="1:1" ht="15">
      <c r="A115" s="250" t="s">
        <v>3422</v>
      </c>
    </row>
    <row r="116" spans="1:1" ht="15">
      <c r="A116" s="253" t="s">
        <v>3402</v>
      </c>
    </row>
    <row r="117" spans="1:1" ht="15">
      <c r="A117" s="253" t="s">
        <v>3423</v>
      </c>
    </row>
    <row r="118" spans="1:1" ht="15">
      <c r="A118" s="253" t="s">
        <v>3385</v>
      </c>
    </row>
    <row r="119" spans="1:1" ht="15">
      <c r="A119" s="253" t="s">
        <v>3403</v>
      </c>
    </row>
    <row r="120" spans="1:1" ht="15">
      <c r="A120" s="253" t="s">
        <v>3424</v>
      </c>
    </row>
    <row r="121" spans="1:1" ht="15">
      <c r="A121" s="253" t="s">
        <v>3404</v>
      </c>
    </row>
    <row r="122" spans="1:1" ht="15">
      <c r="A122" s="253" t="s">
        <v>3392</v>
      </c>
    </row>
    <row r="123" spans="1:1" ht="15">
      <c r="A123" s="253" t="s">
        <v>3407</v>
      </c>
    </row>
    <row r="124" spans="1:1" ht="15">
      <c r="A124" s="253" t="s">
        <v>3425</v>
      </c>
    </row>
    <row r="125" spans="1:1" ht="15">
      <c r="A125" s="253" t="s">
        <v>3426</v>
      </c>
    </row>
    <row r="126" spans="1:1" ht="15">
      <c r="A126" s="253" t="s">
        <v>3361</v>
      </c>
    </row>
    <row r="127" spans="1:1" ht="15">
      <c r="A127" s="253" t="s">
        <v>3400</v>
      </c>
    </row>
    <row r="128" spans="1:1">
      <c r="A128" s="255" t="s">
        <v>24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Z52"/>
  <sheetViews>
    <sheetView zoomScaleNormal="100" workbookViewId="0"/>
  </sheetViews>
  <sheetFormatPr defaultColWidth="0" defaultRowHeight="15.95" zeroHeight="1"/>
  <cols>
    <col min="1" max="1" width="10.59765625" customWidth="1"/>
    <col min="2" max="2" width="10.59765625" style="93" customWidth="1"/>
    <col min="3" max="3" width="93.19921875" customWidth="1"/>
    <col min="4" max="4" width="10.59765625" customWidth="1"/>
    <col min="5" max="26" width="0" hidden="1" customWidth="1"/>
    <col min="27" max="16384" width="10.59765625" hidden="1"/>
  </cols>
  <sheetData>
    <row r="1" spans="1:3">
      <c r="A1" s="238" t="s">
        <v>3427</v>
      </c>
    </row>
    <row r="2" spans="1:3" ht="36" customHeight="1">
      <c r="A2" s="376" t="s">
        <v>3428</v>
      </c>
      <c r="B2" s="377"/>
      <c r="C2" s="378"/>
    </row>
    <row r="3" spans="1:3" ht="25.5" customHeight="1">
      <c r="A3" s="379" t="s">
        <v>3429</v>
      </c>
      <c r="B3" s="380"/>
      <c r="C3" s="381"/>
    </row>
    <row r="4" spans="1:3" s="11" customFormat="1" ht="24" customHeight="1">
      <c r="A4" s="90" t="s">
        <v>3430</v>
      </c>
      <c r="B4" s="90" t="s">
        <v>63</v>
      </c>
      <c r="C4" s="90" t="s">
        <v>3431</v>
      </c>
    </row>
    <row r="5" spans="1:3" ht="36" customHeight="1">
      <c r="A5" s="91" t="s">
        <v>3432</v>
      </c>
      <c r="B5" s="92">
        <v>42586</v>
      </c>
      <c r="C5" s="91" t="s">
        <v>3433</v>
      </c>
    </row>
    <row r="6" spans="1:3" ht="36" customHeight="1">
      <c r="A6" s="91" t="s">
        <v>3434</v>
      </c>
      <c r="B6" s="92">
        <v>42596</v>
      </c>
      <c r="C6" s="65" t="s">
        <v>3435</v>
      </c>
    </row>
    <row r="7" spans="1:3" ht="36" customHeight="1">
      <c r="A7" s="91" t="s">
        <v>3436</v>
      </c>
      <c r="B7" s="92">
        <v>42597</v>
      </c>
      <c r="C7" s="91" t="s">
        <v>3437</v>
      </c>
    </row>
    <row r="8" spans="1:3" ht="36" customHeight="1">
      <c r="A8" s="91" t="s">
        <v>3438</v>
      </c>
      <c r="B8" s="92">
        <v>42598</v>
      </c>
      <c r="C8" s="91" t="s">
        <v>3439</v>
      </c>
    </row>
    <row r="9" spans="1:3" ht="36" customHeight="1">
      <c r="A9" s="91" t="s">
        <v>3440</v>
      </c>
      <c r="B9" s="92">
        <v>42606</v>
      </c>
      <c r="C9" s="91" t="s">
        <v>3441</v>
      </c>
    </row>
    <row r="10" spans="1:3" ht="36" customHeight="1">
      <c r="A10" s="91" t="s">
        <v>3442</v>
      </c>
      <c r="B10" s="92">
        <v>42607</v>
      </c>
      <c r="C10" s="91" t="s">
        <v>3443</v>
      </c>
    </row>
    <row r="11" spans="1:3" ht="36" customHeight="1">
      <c r="A11" s="91" t="s">
        <v>3444</v>
      </c>
      <c r="B11" s="92">
        <v>42608</v>
      </c>
      <c r="C11" s="91" t="s">
        <v>3445</v>
      </c>
    </row>
    <row r="12" spans="1:3" ht="36" customHeight="1">
      <c r="A12" s="91" t="s">
        <v>3446</v>
      </c>
      <c r="B12" s="92">
        <v>42608</v>
      </c>
      <c r="C12" s="91" t="s">
        <v>3447</v>
      </c>
    </row>
    <row r="13" spans="1:3" ht="36" customHeight="1">
      <c r="A13" s="91" t="s">
        <v>3448</v>
      </c>
      <c r="B13" s="92">
        <v>42634</v>
      </c>
      <c r="C13" s="91" t="s">
        <v>3449</v>
      </c>
    </row>
    <row r="14" spans="1:3" ht="36" customHeight="1">
      <c r="A14" s="91" t="s">
        <v>3450</v>
      </c>
      <c r="B14" s="92">
        <v>42636</v>
      </c>
      <c r="C14" s="91" t="s">
        <v>3451</v>
      </c>
    </row>
    <row r="15" spans="1:3" ht="36" customHeight="1">
      <c r="A15" s="91" t="s">
        <v>3452</v>
      </c>
      <c r="B15" s="92">
        <v>42639</v>
      </c>
      <c r="C15" s="91" t="s">
        <v>3453</v>
      </c>
    </row>
    <row r="16" spans="1:3" ht="36" customHeight="1">
      <c r="A16" s="91" t="s">
        <v>3454</v>
      </c>
      <c r="B16" s="92">
        <v>42649</v>
      </c>
      <c r="C16" s="91" t="s">
        <v>3455</v>
      </c>
    </row>
    <row r="17" spans="1:3" ht="36" customHeight="1">
      <c r="A17" s="91" t="s">
        <v>3456</v>
      </c>
      <c r="B17" s="92">
        <v>42660</v>
      </c>
      <c r="C17" s="91" t="s">
        <v>3457</v>
      </c>
    </row>
    <row r="18" spans="1:3" ht="36" customHeight="1">
      <c r="A18" s="91" t="s">
        <v>3458</v>
      </c>
      <c r="B18" s="92">
        <v>42690</v>
      </c>
      <c r="C18" s="91" t="s">
        <v>3459</v>
      </c>
    </row>
    <row r="19" spans="1:3" ht="36" customHeight="1">
      <c r="A19" s="91" t="s">
        <v>3460</v>
      </c>
      <c r="B19" s="92">
        <v>42695</v>
      </c>
      <c r="C19" s="65" t="s">
        <v>3461</v>
      </c>
    </row>
    <row r="20" spans="1:3" ht="36" customHeight="1">
      <c r="A20" s="91" t="s">
        <v>3462</v>
      </c>
      <c r="B20" s="92">
        <v>42697</v>
      </c>
      <c r="C20" s="91" t="s">
        <v>3463</v>
      </c>
    </row>
    <row r="21" spans="1:3" ht="36" customHeight="1">
      <c r="A21" s="91" t="s">
        <v>3464</v>
      </c>
      <c r="B21" s="92">
        <v>42847</v>
      </c>
      <c r="C21" s="91" t="s">
        <v>3465</v>
      </c>
    </row>
    <row r="22" spans="1:3" ht="36" customHeight="1">
      <c r="A22" s="91" t="s">
        <v>3466</v>
      </c>
      <c r="B22" s="92">
        <v>42853</v>
      </c>
      <c r="C22" s="91" t="s">
        <v>3467</v>
      </c>
    </row>
    <row r="23" spans="1:3" ht="36" customHeight="1">
      <c r="A23" s="91" t="s">
        <v>3468</v>
      </c>
      <c r="B23" s="92">
        <v>43032</v>
      </c>
      <c r="C23" s="91" t="s">
        <v>3469</v>
      </c>
    </row>
    <row r="24" spans="1:3" ht="36" customHeight="1">
      <c r="A24" s="65" t="s">
        <v>3470</v>
      </c>
      <c r="B24" s="92">
        <v>43386</v>
      </c>
      <c r="C24" s="65" t="s">
        <v>3471</v>
      </c>
    </row>
    <row r="25" spans="1:3" ht="36" customHeight="1">
      <c r="A25" s="65" t="s">
        <v>3472</v>
      </c>
      <c r="B25" s="92">
        <v>43405</v>
      </c>
      <c r="C25" s="65" t="s">
        <v>3473</v>
      </c>
    </row>
    <row r="26" spans="1:3" ht="36" customHeight="1">
      <c r="A26" s="65" t="s">
        <v>3474</v>
      </c>
      <c r="B26" s="92">
        <v>43490</v>
      </c>
      <c r="C26" s="65" t="s">
        <v>3475</v>
      </c>
    </row>
    <row r="27" spans="1:3" ht="36" customHeight="1">
      <c r="A27" s="65" t="s">
        <v>3476</v>
      </c>
      <c r="B27" s="92">
        <v>43543</v>
      </c>
      <c r="C27" s="91" t="s">
        <v>3477</v>
      </c>
    </row>
    <row r="28" spans="1:3" ht="36" customHeight="1">
      <c r="A28" s="91" t="s">
        <v>3478</v>
      </c>
      <c r="B28" s="92">
        <v>43584</v>
      </c>
      <c r="C28" s="91" t="s">
        <v>3479</v>
      </c>
    </row>
    <row r="29" spans="1:3" ht="36" customHeight="1">
      <c r="A29" s="91" t="s">
        <v>3480</v>
      </c>
      <c r="B29" s="92">
        <v>43742</v>
      </c>
      <c r="C29" s="91" t="s">
        <v>3481</v>
      </c>
    </row>
    <row r="30" spans="1:3" ht="36" customHeight="1">
      <c r="A30" s="91" t="s">
        <v>3482</v>
      </c>
      <c r="B30" s="92">
        <v>43790</v>
      </c>
      <c r="C30" s="91" t="s">
        <v>3483</v>
      </c>
    </row>
    <row r="31" spans="1:3" ht="36" customHeight="1">
      <c r="A31" s="65" t="s">
        <v>3484</v>
      </c>
      <c r="B31" s="92">
        <v>44547</v>
      </c>
      <c r="C31" s="65" t="s">
        <v>3485</v>
      </c>
    </row>
    <row r="32" spans="1:3" ht="36" customHeight="1">
      <c r="A32" s="65" t="s">
        <v>3486</v>
      </c>
      <c r="B32" s="92">
        <v>44596</v>
      </c>
      <c r="C32" s="65" t="s">
        <v>3487</v>
      </c>
    </row>
    <row r="33" spans="1:3" ht="36" customHeight="1">
      <c r="A33" s="65" t="s">
        <v>3486</v>
      </c>
      <c r="B33" s="92">
        <v>44624</v>
      </c>
      <c r="C33" s="65" t="s">
        <v>3488</v>
      </c>
    </row>
    <row r="34" spans="1:3" ht="36" customHeight="1">
      <c r="A34" s="65" t="s">
        <v>3486</v>
      </c>
      <c r="B34" s="92">
        <v>44627</v>
      </c>
      <c r="C34" s="91" t="s">
        <v>3489</v>
      </c>
    </row>
    <row r="35" spans="1:3" ht="36" customHeight="1">
      <c r="A35" s="91" t="s">
        <v>3490</v>
      </c>
      <c r="B35" s="92">
        <v>44629</v>
      </c>
      <c r="C35" s="91" t="s">
        <v>3491</v>
      </c>
    </row>
    <row r="36" spans="1:3" ht="36" customHeight="1">
      <c r="A36" s="91" t="s">
        <v>3492</v>
      </c>
      <c r="B36" s="92">
        <v>44634</v>
      </c>
      <c r="C36" s="91" t="s">
        <v>3493</v>
      </c>
    </row>
    <row r="37" spans="1:3" ht="36" customHeight="1">
      <c r="A37" s="65" t="s">
        <v>3494</v>
      </c>
      <c r="B37" s="92">
        <v>44651</v>
      </c>
      <c r="C37" s="65" t="s">
        <v>3495</v>
      </c>
    </row>
    <row r="38" spans="1:3" ht="36" customHeight="1">
      <c r="A38" s="65" t="s">
        <v>3494</v>
      </c>
      <c r="B38" s="92">
        <v>44682</v>
      </c>
      <c r="C38" s="65" t="s">
        <v>3496</v>
      </c>
    </row>
    <row r="39" spans="1:3" ht="36" customHeight="1">
      <c r="A39" s="65" t="s">
        <v>3494</v>
      </c>
      <c r="B39" s="92">
        <v>44692</v>
      </c>
      <c r="C39" s="65" t="s">
        <v>3497</v>
      </c>
    </row>
    <row r="40" spans="1:3" ht="36" customHeight="1">
      <c r="A40" s="65" t="s">
        <v>3494</v>
      </c>
      <c r="B40" s="92">
        <v>44692</v>
      </c>
      <c r="C40" s="65" t="s">
        <v>3498</v>
      </c>
    </row>
    <row r="41" spans="1:3" ht="36" customHeight="1">
      <c r="A41" s="65" t="s">
        <v>3494</v>
      </c>
      <c r="B41" s="92">
        <v>44692</v>
      </c>
      <c r="C41" s="65" t="s">
        <v>3499</v>
      </c>
    </row>
    <row r="42" spans="1:3" ht="36" customHeight="1">
      <c r="A42" s="65" t="s">
        <v>3494</v>
      </c>
      <c r="B42" s="92">
        <v>44692</v>
      </c>
      <c r="C42" s="65" t="s">
        <v>3500</v>
      </c>
    </row>
    <row r="43" spans="1:3" ht="36" customHeight="1">
      <c r="A43" s="65" t="s">
        <v>3494</v>
      </c>
      <c r="B43" s="92">
        <v>44692</v>
      </c>
      <c r="C43" s="65" t="s">
        <v>3501</v>
      </c>
    </row>
    <row r="44" spans="1:3" ht="36" customHeight="1">
      <c r="A44" s="65" t="s">
        <v>3494</v>
      </c>
      <c r="B44" s="92">
        <v>44708</v>
      </c>
      <c r="C44" s="65" t="s">
        <v>3502</v>
      </c>
    </row>
    <row r="45" spans="1:3" ht="36" customHeight="1">
      <c r="A45" s="65" t="s">
        <v>3503</v>
      </c>
      <c r="B45" s="92">
        <v>44963</v>
      </c>
      <c r="C45" s="65" t="s">
        <v>3504</v>
      </c>
    </row>
    <row r="46" spans="1:3" ht="36" customHeight="1">
      <c r="A46" s="91" t="s">
        <v>3505</v>
      </c>
      <c r="B46" s="92">
        <v>45136</v>
      </c>
      <c r="C46" s="91" t="s">
        <v>3506</v>
      </c>
    </row>
    <row r="51" spans="1:4" ht="36" customHeight="1">
      <c r="A51" s="91"/>
      <c r="B51" s="105"/>
      <c r="C51" s="91"/>
      <c r="D51" s="238" t="s">
        <v>3507</v>
      </c>
    </row>
    <row r="52" spans="1:4">
      <c r="A52" s="238" t="s">
        <v>3508</v>
      </c>
    </row>
  </sheetData>
  <mergeCells count="2">
    <mergeCell ref="A2:C2"/>
    <mergeCell ref="A3:C3"/>
  </mergeCells>
  <phoneticPr fontId="4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8"/>
  <sheetViews>
    <sheetView zoomScaleNormal="100" workbookViewId="0"/>
  </sheetViews>
  <sheetFormatPr defaultColWidth="0" defaultRowHeight="15.95" zeroHeight="1"/>
  <cols>
    <col min="1" max="1" width="18.3984375" customWidth="1"/>
    <col min="2" max="2" width="88.09765625" customWidth="1"/>
    <col min="3" max="3" width="10.59765625" customWidth="1"/>
    <col min="4" max="256" width="0" hidden="1" customWidth="1"/>
    <col min="257" max="16384" width="10.59765625" hidden="1"/>
  </cols>
  <sheetData>
    <row r="1" spans="1:2">
      <c r="A1" s="238" t="s">
        <v>25</v>
      </c>
    </row>
    <row r="2" spans="1:2" ht="45.75" customHeight="1">
      <c r="A2" s="278" t="s">
        <v>26</v>
      </c>
      <c r="B2" s="279"/>
    </row>
    <row r="3" spans="1:2" ht="26.25" customHeight="1">
      <c r="A3" s="280"/>
      <c r="B3" s="280"/>
    </row>
    <row r="4" spans="1:2" s="11" customFormat="1" ht="24" customHeight="1">
      <c r="A4" s="275" t="s">
        <v>27</v>
      </c>
      <c r="B4" s="276"/>
    </row>
    <row r="5" spans="1:2" ht="72" customHeight="1">
      <c r="A5" s="270" t="s">
        <v>28</v>
      </c>
      <c r="B5" s="270"/>
    </row>
    <row r="6" spans="1:2" s="11" customFormat="1" ht="24" customHeight="1">
      <c r="A6" s="275" t="s">
        <v>29</v>
      </c>
      <c r="B6" s="276"/>
    </row>
    <row r="7" spans="1:2" ht="84" customHeight="1">
      <c r="A7" s="270" t="s">
        <v>30</v>
      </c>
      <c r="B7" s="270"/>
    </row>
    <row r="8" spans="1:2" ht="55.5" customHeight="1">
      <c r="A8" s="14" t="s">
        <v>31</v>
      </c>
      <c r="B8" s="263" t="s">
        <v>32</v>
      </c>
    </row>
    <row r="9" spans="1:2" ht="54" customHeight="1">
      <c r="A9" s="14" t="s">
        <v>33</v>
      </c>
      <c r="B9" s="263" t="s">
        <v>34</v>
      </c>
    </row>
    <row r="10" spans="1:2" ht="36" customHeight="1">
      <c r="A10" s="14" t="s">
        <v>35</v>
      </c>
      <c r="B10" s="263" t="s">
        <v>36</v>
      </c>
    </row>
    <row r="11" spans="1:2" ht="36" customHeight="1">
      <c r="A11" s="14" t="s">
        <v>37</v>
      </c>
      <c r="B11" s="263" t="s">
        <v>38</v>
      </c>
    </row>
    <row r="12" spans="1:2" ht="36" customHeight="1">
      <c r="A12" s="14" t="s">
        <v>39</v>
      </c>
      <c r="B12" s="263" t="s">
        <v>40</v>
      </c>
    </row>
    <row r="13" spans="1:2" ht="96" customHeight="1">
      <c r="A13" s="270" t="s">
        <v>41</v>
      </c>
      <c r="B13" s="270"/>
    </row>
    <row r="14" spans="1:2" ht="124.5" customHeight="1">
      <c r="A14" s="272" t="s">
        <v>42</v>
      </c>
      <c r="B14" s="273"/>
    </row>
    <row r="15" spans="1:2" s="11" customFormat="1" ht="24" customHeight="1">
      <c r="A15" s="275" t="s">
        <v>43</v>
      </c>
      <c r="B15" s="276"/>
    </row>
    <row r="16" spans="1:2" ht="56.25" customHeight="1">
      <c r="A16" s="270" t="s">
        <v>44</v>
      </c>
      <c r="B16" s="270"/>
    </row>
    <row r="17" spans="1:2" ht="112.5" customHeight="1">
      <c r="A17" s="272" t="s">
        <v>45</v>
      </c>
      <c r="B17" s="273"/>
    </row>
    <row r="18" spans="1:2" s="11" customFormat="1" ht="24" customHeight="1">
      <c r="A18" s="275" t="s">
        <v>46</v>
      </c>
      <c r="B18" s="276"/>
    </row>
    <row r="19" spans="1:2" ht="36" customHeight="1">
      <c r="A19" s="162" t="s">
        <v>47</v>
      </c>
      <c r="B19" s="163" t="s">
        <v>48</v>
      </c>
    </row>
    <row r="20" spans="1:2" ht="36" customHeight="1">
      <c r="A20" s="162" t="s">
        <v>49</v>
      </c>
      <c r="B20" s="163" t="s">
        <v>50</v>
      </c>
    </row>
    <row r="21" spans="1:2" ht="36" customHeight="1">
      <c r="A21" s="162" t="s">
        <v>51</v>
      </c>
      <c r="B21" s="163" t="s">
        <v>52</v>
      </c>
    </row>
    <row r="22" spans="1:2" s="11" customFormat="1" ht="24" customHeight="1">
      <c r="A22" s="275" t="s">
        <v>53</v>
      </c>
      <c r="B22" s="276"/>
    </row>
    <row r="23" spans="1:2" ht="64.5" customHeight="1">
      <c r="A23" s="277" t="s">
        <v>54</v>
      </c>
      <c r="B23" s="270"/>
    </row>
    <row r="24" spans="1:2" ht="36" customHeight="1">
      <c r="A24" s="274" t="s">
        <v>55</v>
      </c>
      <c r="B24" s="274"/>
    </row>
    <row r="25" spans="1:2" ht="47.25" customHeight="1">
      <c r="A25" s="271"/>
      <c r="B25" s="271"/>
    </row>
    <row r="26" spans="1:2" s="11" customFormat="1" ht="36" customHeight="1">
      <c r="A26" s="268" t="s">
        <v>56</v>
      </c>
      <c r="B26" s="269"/>
    </row>
    <row r="27" spans="1:2" ht="171.95" customHeight="1">
      <c r="A27" s="270" t="s">
        <v>57</v>
      </c>
      <c r="B27" s="270"/>
    </row>
    <row r="28" spans="1:2">
      <c r="A28" s="236" t="s">
        <v>24</v>
      </c>
    </row>
  </sheetData>
  <mergeCells count="18">
    <mergeCell ref="A7:B7"/>
    <mergeCell ref="A13:B13"/>
    <mergeCell ref="A15:B15"/>
    <mergeCell ref="A16:B16"/>
    <mergeCell ref="A18:B18"/>
    <mergeCell ref="A2:B2"/>
    <mergeCell ref="A3:B3"/>
    <mergeCell ref="A4:B4"/>
    <mergeCell ref="A5:B5"/>
    <mergeCell ref="A6:B6"/>
    <mergeCell ref="A26:B26"/>
    <mergeCell ref="A27:B27"/>
    <mergeCell ref="A25:B25"/>
    <mergeCell ref="A17:B17"/>
    <mergeCell ref="A14:B14"/>
    <mergeCell ref="A24:B24"/>
    <mergeCell ref="A22:B22"/>
    <mergeCell ref="A23:B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00000"/>
  </sheetPr>
  <dimension ref="A1:IV285"/>
  <sheetViews>
    <sheetView showGridLines="0" tabSelected="1" topLeftCell="A16" zoomScaleNormal="100" workbookViewId="0">
      <selection activeCell="C282" sqref="C282"/>
    </sheetView>
  </sheetViews>
  <sheetFormatPr defaultColWidth="0" defaultRowHeight="15" customHeight="1" zeroHeight="1"/>
  <cols>
    <col min="1" max="1" width="8.19921875" customWidth="1"/>
    <col min="2" max="2" width="55.09765625" style="3" customWidth="1"/>
    <col min="3" max="3" width="20" style="17" customWidth="1"/>
    <col min="4" max="4" width="43.59765625" style="5" customWidth="1"/>
    <col min="5" max="5" width="32" style="6" customWidth="1"/>
    <col min="6" max="6" width="26.59765625" style="3" customWidth="1"/>
    <col min="7" max="7" width="6.59765625" style="3" customWidth="1"/>
    <col min="8" max="256" width="6.59765625" style="3" hidden="1" customWidth="1"/>
    <col min="257" max="16384" width="6.59765625" hidden="1"/>
  </cols>
  <sheetData>
    <row r="1" spans="1:5" ht="15" customHeight="1">
      <c r="A1" s="238" t="s">
        <v>58</v>
      </c>
    </row>
    <row r="2" spans="1:5" ht="36" customHeight="1">
      <c r="A2" s="281" t="s">
        <v>59</v>
      </c>
      <c r="B2" s="281"/>
      <c r="C2" s="281"/>
      <c r="D2" s="281"/>
      <c r="E2" s="88" t="s">
        <v>60</v>
      </c>
    </row>
    <row r="3" spans="1:5" ht="36" customHeight="1">
      <c r="A3" s="282" t="s">
        <v>61</v>
      </c>
      <c r="B3" s="282"/>
      <c r="C3" s="282"/>
      <c r="D3" s="282"/>
      <c r="E3" s="282"/>
    </row>
    <row r="4" spans="1:5" ht="29.25" customHeight="1">
      <c r="A4" s="15" t="s">
        <v>62</v>
      </c>
      <c r="B4" s="7" t="s">
        <v>63</v>
      </c>
      <c r="C4" s="285">
        <v>45922</v>
      </c>
      <c r="D4" s="285"/>
      <c r="E4" s="285"/>
    </row>
    <row r="5" spans="1:5" ht="36" customHeight="1">
      <c r="A5" s="283" t="s">
        <v>31</v>
      </c>
      <c r="B5" s="283"/>
      <c r="C5" s="18"/>
      <c r="D5" s="19"/>
      <c r="E5" s="20"/>
    </row>
    <row r="6" spans="1:5" ht="72" customHeight="1">
      <c r="A6" s="284" t="s">
        <v>64</v>
      </c>
      <c r="B6" s="284"/>
      <c r="C6" s="284"/>
      <c r="D6" s="284"/>
      <c r="E6" s="284"/>
    </row>
    <row r="7" spans="1:5" ht="24" customHeight="1">
      <c r="A7" s="297" t="s">
        <v>65</v>
      </c>
      <c r="B7" s="297"/>
      <c r="C7" s="297"/>
      <c r="D7" s="297"/>
      <c r="E7" s="297"/>
    </row>
    <row r="8" spans="1:5" ht="22.5" customHeight="1">
      <c r="A8" s="10" t="s">
        <v>66</v>
      </c>
      <c r="B8" s="21" t="str">
        <f>VLOOKUP(A8,Questions!$B$3:$C$256,2,FALSE)</f>
        <v>Vendor Name</v>
      </c>
      <c r="C8" s="291" t="s">
        <v>67</v>
      </c>
      <c r="D8" s="292"/>
      <c r="E8" s="293"/>
    </row>
    <row r="9" spans="1:5" ht="22.5" customHeight="1">
      <c r="A9" s="10" t="s">
        <v>68</v>
      </c>
      <c r="B9" s="21" t="str">
        <f>VLOOKUP(A9,Questions!$B$3:$C$256,2,FALSE)</f>
        <v>Product Name</v>
      </c>
      <c r="C9" s="289" t="s">
        <v>69</v>
      </c>
      <c r="D9" s="290"/>
      <c r="E9" s="290"/>
    </row>
    <row r="10" spans="1:5" ht="27.95" customHeight="1">
      <c r="A10" s="10" t="s">
        <v>70</v>
      </c>
      <c r="B10" s="21" t="str">
        <f>VLOOKUP(A10,Questions!$B$3:$C$256,2,FALSE)</f>
        <v>Product Description</v>
      </c>
      <c r="C10" s="286" t="s">
        <v>71</v>
      </c>
      <c r="D10" s="287"/>
      <c r="E10" s="288"/>
    </row>
    <row r="11" spans="1:5" ht="22.5" customHeight="1">
      <c r="A11" s="10" t="s">
        <v>72</v>
      </c>
      <c r="B11" s="21" t="str">
        <f>VLOOKUP(A11,Questions!$B$3:$C$256,2,FALSE)</f>
        <v>Web Link to Product Privacy Notice</v>
      </c>
      <c r="C11" s="294" t="s">
        <v>73</v>
      </c>
      <c r="D11" s="295"/>
      <c r="E11" s="296"/>
    </row>
    <row r="12" spans="1:5" ht="22.5" customHeight="1">
      <c r="A12" s="10" t="s">
        <v>74</v>
      </c>
      <c r="B12" s="21" t="str">
        <f>VLOOKUP(A12,Questions!$B$3:$C$256,2,FALSE)</f>
        <v>Web Link to Accessibility Statement or VPAT</v>
      </c>
      <c r="C12" s="289" t="s">
        <v>75</v>
      </c>
      <c r="D12" s="290"/>
      <c r="E12" s="290"/>
    </row>
    <row r="13" spans="1:5" ht="22.5" customHeight="1">
      <c r="A13" s="10" t="s">
        <v>76</v>
      </c>
      <c r="B13" s="21" t="str">
        <f>VLOOKUP(A13,Questions!$B$3:$C$256,2,FALSE)</f>
        <v>Vendor Contact Name</v>
      </c>
      <c r="C13" s="286" t="s">
        <v>77</v>
      </c>
      <c r="D13" s="287"/>
      <c r="E13" s="288"/>
    </row>
    <row r="14" spans="1:5" ht="22.5" customHeight="1">
      <c r="A14" s="10" t="s">
        <v>78</v>
      </c>
      <c r="B14" s="21" t="str">
        <f>VLOOKUP(A14,Questions!$B$3:$C$256,2,FALSE)</f>
        <v>Vendor Contact Title</v>
      </c>
      <c r="C14" s="286" t="s">
        <v>79</v>
      </c>
      <c r="D14" s="287"/>
      <c r="E14" s="288"/>
    </row>
    <row r="15" spans="1:5" ht="22.5" customHeight="1">
      <c r="A15" s="10" t="s">
        <v>80</v>
      </c>
      <c r="B15" s="21" t="str">
        <f>VLOOKUP(A15,Questions!$B$3:$C$256,2,FALSE)</f>
        <v>Vendor Contact Email</v>
      </c>
      <c r="C15" s="300" t="s">
        <v>81</v>
      </c>
      <c r="D15" s="301"/>
      <c r="E15" s="302"/>
    </row>
    <row r="16" spans="1:5" ht="22.5" customHeight="1">
      <c r="A16" s="10" t="s">
        <v>82</v>
      </c>
      <c r="B16" s="21" t="str">
        <f>VLOOKUP(A16,Questions!$B$3:$C$256,2,FALSE)</f>
        <v>Vendor Contact Phone Number</v>
      </c>
      <c r="C16" s="286" t="s">
        <v>83</v>
      </c>
      <c r="D16" s="287"/>
      <c r="E16" s="288"/>
    </row>
    <row r="17" spans="1:6" ht="22.5" customHeight="1">
      <c r="A17" s="10" t="s">
        <v>84</v>
      </c>
      <c r="B17" s="21" t="str">
        <f>VLOOKUP(A17,Questions!$B$3:$C$256,2,FALSE)</f>
        <v>Vendor Accessibility Contact Name</v>
      </c>
      <c r="C17" s="286" t="s">
        <v>77</v>
      </c>
      <c r="D17" s="287"/>
      <c r="E17" s="288"/>
    </row>
    <row r="18" spans="1:6" ht="22.5" customHeight="1">
      <c r="A18" s="10" t="s">
        <v>85</v>
      </c>
      <c r="B18" s="21" t="str">
        <f>VLOOKUP(A18,Questions!$B$3:$C$256,2,FALSE)</f>
        <v>Vendor Accessibility Contact Title</v>
      </c>
      <c r="C18" s="286" t="s">
        <v>79</v>
      </c>
      <c r="D18" s="287"/>
      <c r="E18" s="288"/>
    </row>
    <row r="19" spans="1:6" ht="22.5" customHeight="1">
      <c r="A19" s="10" t="s">
        <v>86</v>
      </c>
      <c r="B19" s="21" t="str">
        <f>VLOOKUP(A19,Questions!$B$3:$C$256,2,FALSE)</f>
        <v>Vendor Accessibility Contact Email</v>
      </c>
      <c r="C19" s="300" t="s">
        <v>81</v>
      </c>
      <c r="D19" s="301"/>
      <c r="E19" s="302"/>
    </row>
    <row r="20" spans="1:6" ht="22.5" customHeight="1">
      <c r="A20" s="10" t="s">
        <v>87</v>
      </c>
      <c r="B20" s="21" t="str">
        <f>VLOOKUP(A20,Questions!$B$3:$C$256,2,FALSE)</f>
        <v>Vendor Accessibility Contact Phone Number</v>
      </c>
      <c r="C20" s="291" t="s">
        <v>83</v>
      </c>
      <c r="D20" s="292"/>
      <c r="E20" s="293"/>
    </row>
    <row r="21" spans="1:6" ht="22.5" customHeight="1">
      <c r="A21" s="10" t="s">
        <v>88</v>
      </c>
      <c r="B21" s="21" t="str">
        <f>VLOOKUP(A21,Questions!$B$3:$C$256,2,FALSE)</f>
        <v>Vendor Hosting Regions</v>
      </c>
      <c r="C21" s="303" t="s">
        <v>89</v>
      </c>
      <c r="D21" s="304"/>
      <c r="E21" s="304"/>
    </row>
    <row r="22" spans="1:6" ht="22.5" customHeight="1">
      <c r="A22" s="10" t="s">
        <v>90</v>
      </c>
      <c r="B22" s="21" t="str">
        <f>VLOOKUP(A22,Questions!$B$3:$C$256,2,FALSE)</f>
        <v>Vendor Work Locations</v>
      </c>
      <c r="C22" s="289" t="s">
        <v>89</v>
      </c>
      <c r="D22" s="290"/>
      <c r="E22" s="290"/>
      <c r="F22" s="27" t="s">
        <v>91</v>
      </c>
    </row>
    <row r="23" spans="1:6" ht="36" customHeight="1">
      <c r="A23" s="283" t="s">
        <v>92</v>
      </c>
      <c r="B23" s="283"/>
      <c r="C23" s="18"/>
      <c r="D23" s="19"/>
      <c r="E23" s="20"/>
    </row>
    <row r="24" spans="1:6" ht="72" customHeight="1" thickBot="1">
      <c r="A24" s="284" t="s">
        <v>93</v>
      </c>
      <c r="B24" s="284"/>
      <c r="C24" s="284"/>
      <c r="D24" s="284"/>
      <c r="E24" s="284"/>
    </row>
    <row r="25" spans="1:6" ht="37.5" customHeight="1">
      <c r="A25" s="298" t="s">
        <v>33</v>
      </c>
      <c r="B25" s="299"/>
      <c r="C25" s="18" t="s">
        <v>94</v>
      </c>
      <c r="D25" s="18" t="s">
        <v>95</v>
      </c>
      <c r="E25" s="146" t="s">
        <v>96</v>
      </c>
      <c r="F25" s="149" t="s">
        <v>97</v>
      </c>
    </row>
    <row r="26" spans="1:6" ht="48" customHeight="1">
      <c r="A26" s="305" t="s">
        <v>98</v>
      </c>
      <c r="B26" s="306"/>
      <c r="C26" s="306"/>
      <c r="D26" s="306"/>
      <c r="E26" s="307"/>
      <c r="F26" s="153"/>
    </row>
    <row r="27" spans="1:6" ht="48" customHeight="1">
      <c r="A27" s="10" t="s">
        <v>99</v>
      </c>
      <c r="B27" s="21" t="str">
        <f>VLOOKUP(A27,Questions!$B$3:$C$256,2,FALSE)</f>
        <v>Does your product process protected health information (PHI) or any data covered by the Health Insurance Portability and Accountability Act?</v>
      </c>
      <c r="C27" s="8" t="s">
        <v>100</v>
      </c>
      <c r="D27" s="210"/>
      <c r="E27" s="147" t="str">
        <f>IF((C27=""),VLOOKUP(A27,Questions!B$18:G$258,4,FALSE),IF(C27="Yes",VLOOKUP(A27,Questions!B$18:G$258,6,FALSE),IF(C27="No",VLOOKUP(A27,Questions!B$18:G$258,5,FALSE),"N/A")))</f>
        <v>Responses to the HIPAA section questions are not required.</v>
      </c>
      <c r="F27" s="153"/>
    </row>
    <row r="28" spans="1:6" ht="80.25" customHeight="1">
      <c r="A28" s="10" t="s">
        <v>101</v>
      </c>
      <c r="B28" s="21" t="str">
        <f>VLOOKUP(A28,Questions!$B$3:$C$256,2,FALSE)</f>
        <v>Will institutional data be shared with or hosted by any third parties? (Any entity not wholly owned by your company is considered a third-party.)</v>
      </c>
      <c r="C28" s="8" t="s">
        <v>102</v>
      </c>
      <c r="D28" s="211" t="s">
        <v>103</v>
      </c>
      <c r="E28" s="147" t="str">
        <f>IF((C28=""),VLOOKUP(A28,Questions!B$18:G$258,4,FALSE),IF(C28="Yes",VLOOKUP(A28,Questions!B$18:G$258,6,FALSE),IF(C28="No",VLOOKUP(A28,Questions!B$18:G$258,5,FALSE),"N/A")))</f>
        <v>State each third party that institutional data will be shared with and/or hosted by and their level of responsibility.</v>
      </c>
      <c r="F28" s="153"/>
    </row>
    <row r="29" spans="1:6" ht="54" customHeight="1">
      <c r="A29" s="10" t="s">
        <v>104</v>
      </c>
      <c r="B29" s="21" t="str">
        <f>VLOOKUP(A29,Questions!$B$3:$C$256,2,FALSE)</f>
        <v>Do you have a well-documented Business Continuity Plan (BCP) that is tested annually?</v>
      </c>
      <c r="C29" s="8" t="s">
        <v>102</v>
      </c>
      <c r="D29" s="257" t="s">
        <v>105</v>
      </c>
      <c r="E29" s="147" t="str">
        <f>IF((C29=""),VLOOKUP(A29,Questions!B$18:G$258,4,FALSE),IF(C29="Yes",VLOOKUP(A29,Questions!B$18:G$258,6,FALSE),IF(C29="No",VLOOKUP(A29,Questions!B$18:G$258,5,FALSE),"N/A")))</f>
        <v>Provide a reference to your BCP and supporting documentation or submit it along with this fully populated HECVAT.</v>
      </c>
      <c r="F29" s="153"/>
    </row>
    <row r="30" spans="1:6" ht="54" customHeight="1">
      <c r="A30" s="10" t="s">
        <v>106</v>
      </c>
      <c r="B30" s="21" t="str">
        <f>VLOOKUP(A30,Questions!$B$3:$C$256,2,FALSE)</f>
        <v>Do you have a well-documented Disaster Recovery Plan (DRP) that is tested annually?</v>
      </c>
      <c r="C30" s="8" t="s">
        <v>102</v>
      </c>
      <c r="D30" s="257" t="s">
        <v>107</v>
      </c>
      <c r="E30" s="147" t="str">
        <f>IF((C30=""),VLOOKUP(A30,Questions!B$18:G$258,4,FALSE),IF(C30="Yes",VLOOKUP(A30,Questions!B$18:G$258,6,FALSE),IF(C30="No",VLOOKUP(A30,Questions!B$18:G$258,5,FALSE),"N/A")))</f>
        <v>Provide a reference to your DRP and supporting documentation or submit it along with this fully populated HECVAT.</v>
      </c>
      <c r="F30" s="153"/>
    </row>
    <row r="31" spans="1:6" ht="54" customHeight="1">
      <c r="A31" s="10" t="s">
        <v>108</v>
      </c>
      <c r="B31" s="21" t="str">
        <f>VLOOKUP(A31,Questions!$B$3:$C$256,2,FALSE)</f>
        <v>Is the vended product designed to process or store credit card information?</v>
      </c>
      <c r="C31" s="8" t="s">
        <v>100</v>
      </c>
      <c r="D31" s="210"/>
      <c r="E31" s="147" t="str">
        <f>IF((C31=""),VLOOKUP(A31,Questions!B$18:G$258,4,FALSE),IF(C31="Yes",VLOOKUP(A31,Questions!B$18:G$258,6,FALSE),IF(C31="No",VLOOKUP(A31,Questions!B$18:G$258,5,FALSE),"N/A")))</f>
        <v>Responses to the PCI DSS section questions are not required.</v>
      </c>
      <c r="F31" s="153"/>
    </row>
    <row r="32" spans="1:6" ht="54" customHeight="1">
      <c r="A32" s="10" t="s">
        <v>109</v>
      </c>
      <c r="B32" s="21" t="str">
        <f>VLOOKUP(A32,Questions!$B$3:$C$256,2,FALSE)</f>
        <v>Does your company provide professional services pertaining to this product?</v>
      </c>
      <c r="C32" s="8" t="s">
        <v>100</v>
      </c>
      <c r="D32" s="210"/>
      <c r="E32" s="147" t="str">
        <f>IF((C32=""),VLOOKUP(A32,Questions!B$18:G$258,4,FALSE),IF(C32="Yes",VLOOKUP(A32,Questions!B$18:G$258,6,FALSE),IF(C32="No",VLOOKUP(A32,Questions!B$18:G$258,5,FALSE),"N/A")))</f>
        <v>Responses to the Consulting section questions are not required.</v>
      </c>
      <c r="F32" s="153"/>
    </row>
    <row r="33" spans="1:7" ht="54" customHeight="1">
      <c r="A33" s="10" t="s">
        <v>110</v>
      </c>
      <c r="B33" s="21" t="str">
        <f>VLOOKUP(A33,Questions!$B$3:$C$256,2,FALSE)</f>
        <v>Select your hosting option.</v>
      </c>
      <c r="C33" s="8" t="s">
        <v>111</v>
      </c>
      <c r="D33" s="210"/>
      <c r="E33" s="147" t="str">
        <f>IF((C33=""),VLOOKUP(A33,Questions!B$18:G$258,4,FALSE),IF(C33="Yes",VLOOKUP(A33,Questions!B$18:G$258,6,FALSE),IF(C33="No",VLOOKUP(A33,Questions!B$18:G$258,5,FALSE),"N/A")))</f>
        <v>N/A</v>
      </c>
      <c r="F33" s="153"/>
      <c r="G33" s="239" t="s">
        <v>91</v>
      </c>
    </row>
    <row r="34" spans="1:7" ht="36" customHeight="1">
      <c r="A34" s="298" t="s">
        <v>37</v>
      </c>
      <c r="B34" s="299"/>
      <c r="C34" s="18" t="s">
        <v>94</v>
      </c>
      <c r="D34" s="18" t="s">
        <v>95</v>
      </c>
      <c r="E34" s="146" t="s">
        <v>96</v>
      </c>
      <c r="F34" s="154" t="s">
        <v>97</v>
      </c>
    </row>
    <row r="35" spans="1:7" ht="54" customHeight="1">
      <c r="A35" s="10" t="s">
        <v>112</v>
      </c>
      <c r="B35" s="21" t="str">
        <f>VLOOKUP(A35,Questions!$B$3:$C$256,2,FALSE)</f>
        <v>Describe your organization’s business background and ownership structure, including all parent and subsidiary relationships.</v>
      </c>
      <c r="C35" s="310" t="s">
        <v>113</v>
      </c>
      <c r="D35" s="311"/>
      <c r="E35" s="147" t="str">
        <f>IF((C35=""),VLOOKUP(A35,Questions!B$18:G$258,4,FALSE),IF(C35="Yes",VLOOKUP(A35,Questions!B$18:G$258,6,FALSE),IF(C35="No",VLOOKUP(A35,Questions!B$18:G$258,5,FALSE),"N/A")))</f>
        <v>N/A</v>
      </c>
      <c r="F35" s="153" t="str">
        <f>VLOOKUP(A35,'Analyst Report'!$A$39:$E$288,5,FALSE)</f>
        <v xml:space="preserve"> </v>
      </c>
    </row>
    <row r="36" spans="1:7" ht="54" customHeight="1">
      <c r="A36" s="10" t="s">
        <v>114</v>
      </c>
      <c r="B36" s="21" t="str">
        <f>VLOOKUP(A36,Questions!$B$3:$C$256,2,FALSE)</f>
        <v>Have you had an unplanned disruption to this product/service in the past 12 months?</v>
      </c>
      <c r="C36" s="8" t="s">
        <v>100</v>
      </c>
      <c r="D36" s="59" t="s">
        <v>115</v>
      </c>
      <c r="E36" s="147" t="str">
        <f>IF((C36=""),VLOOKUP(A36,Questions!B$18:G$258,4,FALSE),IF(C36="Yes",VLOOKUP(A36,Questions!B$18:G$258,6,FALSE),IF(C36="No",VLOOKUP(A36,Questions!B$18:G$258,5,FALSE),"N/A")))</f>
        <v xml:space="preserve"> </v>
      </c>
      <c r="F36" s="153" t="str">
        <f>VLOOKUP(A36,'Analyst Report'!$A$39:$E$288,5,FALSE)</f>
        <v xml:space="preserve"> </v>
      </c>
    </row>
    <row r="37" spans="1:7" ht="54" customHeight="1">
      <c r="A37" s="10" t="s">
        <v>116</v>
      </c>
      <c r="B37" s="21" t="str">
        <f>VLOOKUP(A37,Questions!$B$3:$C$256,2,FALSE)</f>
        <v>Do you have a dedicated Information Security staff or office?</v>
      </c>
      <c r="C37" s="8" t="s">
        <v>102</v>
      </c>
      <c r="D37" s="256" t="s">
        <v>117</v>
      </c>
      <c r="E37" s="147" t="str">
        <f>IF((C37=""),VLOOKUP(A37,Questions!B$18:G$258,4,FALSE),IF(C37="Yes",VLOOKUP(A37,Questions!B$18:G$258,6,FALSE),IF(C37="No",VLOOKUP(A37,Questions!B$18:G$258,5,FALSE),"N/A")))</f>
        <v>Describe your Information Security Office, including size, talents, resources, etc.</v>
      </c>
      <c r="F37" s="153" t="str">
        <f>VLOOKUP(A37,'Analyst Report'!$A$39:$E$288,5,FALSE)</f>
        <v xml:space="preserve"> </v>
      </c>
    </row>
    <row r="38" spans="1:7" ht="64.5" customHeight="1">
      <c r="A38" s="10" t="s">
        <v>118</v>
      </c>
      <c r="B38" s="21" t="str">
        <f>VLOOKUP(A38,Questions!$B$3:$C$256,2,FALSE)</f>
        <v>Do you have a dedicated Software and System Development team(s)? (e.g., Customer Support, Implementation, Product Management, etc.)</v>
      </c>
      <c r="C38" s="8" t="s">
        <v>102</v>
      </c>
      <c r="D38" s="60" t="s">
        <v>119</v>
      </c>
      <c r="E38" s="147" t="str">
        <f>IF((C38=""),VLOOKUP(A38,Questions!B$18:G$258,4,FALSE),IF(C38="Yes",VLOOKUP(A38,Questions!B$18:G$258,6,FALSE),IF(C38="No",VLOOKUP(A38,Questions!B$18:G$258,5,FALSE),"N/A")))</f>
        <v>Describe the structure and size of your Software and System Development teams. (e.g., Customer Support, Implementation, Product Management, etc.).</v>
      </c>
      <c r="F38" s="153" t="str">
        <f>VLOOKUP(A38,'Analyst Report'!$A$39:$E$288,5,FALSE)</f>
        <v xml:space="preserve"> </v>
      </c>
    </row>
    <row r="39" spans="1:7" ht="111.95" customHeight="1">
      <c r="A39" s="21" t="s">
        <v>120</v>
      </c>
      <c r="B39" s="21" t="str">
        <f>VLOOKUP(A39,Questions!$B$3:$C$256,2,FALSE)</f>
        <v>Use this area to share information about your environment that will assist those who are assessing your company data security program.</v>
      </c>
      <c r="C39" s="315" t="s">
        <v>121</v>
      </c>
      <c r="D39" s="316"/>
      <c r="E39" s="147" t="str">
        <f>IF((C39=""),VLOOKUP(A39,Questions!B$18:G$258,4,FALSE),IF(C39="Yes",VLOOKUP(A39,Questions!B$18:G$258,6,FALSE),IF(C39="No",VLOOKUP(A39,Questions!B$18:G$258,5,FALSE),"N/A")))</f>
        <v>N/A</v>
      </c>
      <c r="F39" s="153" t="str">
        <f>VLOOKUP(A39,'Analyst Report'!$A$39:$E$288,5,FALSE)</f>
        <v xml:space="preserve"> </v>
      </c>
      <c r="G39" s="239" t="s">
        <v>91</v>
      </c>
    </row>
    <row r="40" spans="1:7" ht="36" customHeight="1">
      <c r="A40" s="313" t="s">
        <v>35</v>
      </c>
      <c r="B40" s="314"/>
      <c r="C40" s="18" t="s">
        <v>94</v>
      </c>
      <c r="D40" s="18" t="s">
        <v>95</v>
      </c>
      <c r="E40" s="146" t="s">
        <v>96</v>
      </c>
      <c r="F40" s="155" t="s">
        <v>97</v>
      </c>
    </row>
    <row r="41" spans="1:7" ht="97.5" customHeight="1">
      <c r="A41" s="10" t="s">
        <v>122</v>
      </c>
      <c r="B41" s="21" t="str">
        <f>VLOOKUP(A41,Questions!$B$3:$C$256,2,FALSE)</f>
        <v>Have you undergone a SSAE 18/SOC 2 audit?</v>
      </c>
      <c r="C41" s="8" t="s">
        <v>100</v>
      </c>
      <c r="D41" s="257" t="s">
        <v>123</v>
      </c>
      <c r="E41" s="147" t="str">
        <f>IF((C41=""),VLOOKUP(A41,Questions!B$18:G$258,4,FALSE),IF(C41="Yes",VLOOKUP(A41,Questions!B$18:G$258,6,FALSE),IF(C41="No",VLOOKUP(A41,Questions!B$18:G$258,5,FALSE),"N/A")))</f>
        <v>Describe any plans to undergo a SSAE 18 audit.</v>
      </c>
      <c r="F41" s="151" t="str">
        <f>VLOOKUP(A41,'Analyst Report'!$A$39:$E$288,5,FALSE)</f>
        <v xml:space="preserve"> </v>
      </c>
    </row>
    <row r="42" spans="1:7" ht="48" customHeight="1">
      <c r="A42" s="10" t="s">
        <v>124</v>
      </c>
      <c r="B42" s="21" t="str">
        <f>VLOOKUP(A42,Questions!$B$3:$C$256,2,FALSE)</f>
        <v>Have you completed the Cloud Security Alliance (CSA) self assessment or CAIQ?</v>
      </c>
      <c r="C42" s="8" t="s">
        <v>100</v>
      </c>
      <c r="D42" s="257" t="s">
        <v>125</v>
      </c>
      <c r="E42" s="147" t="str">
        <f>IF((C42=""),VLOOKUP(A42,Questions!B$18:G$258,4,FALSE),IF(C42="Yes",VLOOKUP(A42,Questions!B$18:G$258,6,FALSE),IF(C42="No",VLOOKUP(A42,Questions!B$18:G$258,5,FALSE),"N/A")))</f>
        <v>Describe any plans to complete the CSA self assessment or CAIQ.</v>
      </c>
      <c r="F42" s="151" t="str">
        <f>VLOOKUP(A42,'Analyst Report'!$A$39:$E$288,5,FALSE)</f>
        <v xml:space="preserve"> </v>
      </c>
    </row>
    <row r="43" spans="1:7" ht="48" customHeight="1">
      <c r="A43" s="10" t="s">
        <v>126</v>
      </c>
      <c r="B43" s="21" t="str">
        <f>VLOOKUP(A43,Questions!$B$3:$C$256,2,FALSE)</f>
        <v>Have you received the Cloud Security Alliance STAR certification?</v>
      </c>
      <c r="C43" s="8" t="s">
        <v>100</v>
      </c>
      <c r="D43" s="211" t="s">
        <v>127</v>
      </c>
      <c r="E43" s="147" t="str">
        <f>IF((C43=""),VLOOKUP(A43,Questions!B$18:G$258,4,FALSE),IF(C43="Yes",VLOOKUP(A43,Questions!B$18:G$258,6,FALSE),IF(C43="No",VLOOKUP(A43,Questions!B$18:G$258,5,FALSE),"N/A")))</f>
        <v>Describe any plans to obtain CSA STAR certification.</v>
      </c>
      <c r="F43" s="151" t="str">
        <f>VLOOKUP(A43,'Analyst Report'!$A$39:$E$288,5,FALSE)</f>
        <v xml:space="preserve"> </v>
      </c>
    </row>
    <row r="44" spans="1:7" ht="64.5" customHeight="1">
      <c r="A44" s="10" t="s">
        <v>128</v>
      </c>
      <c r="B44" s="21" t="str">
        <f>VLOOKUP(A44,Questions!$B$3:$C$256,2,FALSE)</f>
        <v>Do you conform with a specific industry standard security framework? (e.g., NIST Cybersecurity Framework, CIS Controls, ISO 27001, etc.)</v>
      </c>
      <c r="C44" s="8" t="s">
        <v>102</v>
      </c>
      <c r="D44" s="211" t="s">
        <v>129</v>
      </c>
      <c r="E44" s="147" t="str">
        <f>IF((C44=""),VLOOKUP(A44,Questions!B$18:G$258,4,FALSE),IF(C44="Yes",VLOOKUP(A44,Questions!B$18:G$258,6,FALSE),IF(C44="No",VLOOKUP(A44,Questions!B$18:G$258,5,FALSE),"N/A")))</f>
        <v>Provide documentation on how your organization conforms to your chosen framework and indicate current certification levels, where appropriate.</v>
      </c>
      <c r="F44" s="151" t="str">
        <f>VLOOKUP(A44,'Analyst Report'!$A$39:$E$288,5,FALSE)</f>
        <v xml:space="preserve"> </v>
      </c>
    </row>
    <row r="45" spans="1:7" ht="64.5" customHeight="1">
      <c r="A45" s="10" t="s">
        <v>130</v>
      </c>
      <c r="B45" s="21" t="str">
        <f>VLOOKUP(A45,Questions!$B$3:$C$256,2,FALSE)</f>
        <v>Can the systems that hold the institution's data be compliant with NIST SP 800-171 and/or CMMC Level 2 standards?</v>
      </c>
      <c r="C45" s="8" t="s">
        <v>100</v>
      </c>
      <c r="D45" s="209" t="s">
        <v>131</v>
      </c>
      <c r="E45" s="147" t="str">
        <f>IF((C45=""),VLOOKUP(A45,Questions!B$18:G$258,4,FALSE),IF(C45="Yes",VLOOKUP(A45,Questions!B$18:G$258,6,FALSE),IF(C45="No",VLOOKUP(A45,Questions!B$18:G$258,5,FALSE),"N/A")))</f>
        <v>Describe any plans to provide NIST SP 800-171 or CMMC Level 2 services.</v>
      </c>
      <c r="F45" s="151" t="str">
        <f>VLOOKUP(A45,'Analyst Report'!$A$39:$E$288,5,FALSE)</f>
        <v xml:space="preserve"> </v>
      </c>
    </row>
    <row r="46" spans="1:7" ht="64.5" customHeight="1">
      <c r="A46" s="10" t="s">
        <v>132</v>
      </c>
      <c r="B46" s="21" t="str">
        <f>VLOOKUP(A46,Questions!$B$3:$C$256,2,FALSE)</f>
        <v>Can you provide overall system and/or application architecture diagrams, including a full description of the data flow for all components of the system?</v>
      </c>
      <c r="C46" s="8" t="s">
        <v>102</v>
      </c>
      <c r="D46" s="209" t="s">
        <v>133</v>
      </c>
      <c r="E46" s="147" t="str">
        <f>IF((C46=""),VLOOKUP(A46,Questions!B$18:G$258,4,FALSE),IF(C46="Yes",VLOOKUP(A46,Questions!B$18:G$258,6,FALSE),IF(C46="No",VLOOKUP(A46,Questions!B$18:G$258,5,FALSE),"N/A")))</f>
        <v>Provide your diagrams (or a valid link to it) upon submission.</v>
      </c>
      <c r="F46" s="151" t="str">
        <f>VLOOKUP(A46,'Analyst Report'!$A$39:$E$288,5,FALSE)</f>
        <v xml:space="preserve"> </v>
      </c>
    </row>
    <row r="47" spans="1:7" ht="64.5" customHeight="1">
      <c r="A47" s="10" t="s">
        <v>134</v>
      </c>
      <c r="B47" s="21" t="str">
        <f>VLOOKUP(A47,Questions!$B$3:$C$256,2,FALSE)</f>
        <v>Does your organization have a data privacy policy?</v>
      </c>
      <c r="C47" s="8" t="s">
        <v>102</v>
      </c>
      <c r="D47" s="257" t="s">
        <v>73</v>
      </c>
      <c r="E47" s="147" t="str">
        <f>IF((C47=""),VLOOKUP(A47,Questions!B$18:G$258,4,FALSE),IF(C47="Yes",VLOOKUP(A47,Questions!B$18:G$258,6,FALSE),IF(C47="No",VLOOKUP(A47,Questions!B$18:G$258,5,FALSE),"N/A")))</f>
        <v>Provide your data privacy document (or a valid link to it) upon submission.</v>
      </c>
      <c r="F47" s="151" t="str">
        <f>VLOOKUP(A47,'Analyst Report'!$A$39:$E$288,5,FALSE)</f>
        <v xml:space="preserve"> </v>
      </c>
    </row>
    <row r="48" spans="1:7" ht="64.5" customHeight="1">
      <c r="A48" s="10" t="s">
        <v>135</v>
      </c>
      <c r="B48" s="21" t="str">
        <f>VLOOKUP(A48,Questions!$B$3:$C$256,2,FALSE)</f>
        <v>Do you have a documented, and currently implemented, employee onboarding and offboarding policy?</v>
      </c>
      <c r="C48" s="8" t="s">
        <v>102</v>
      </c>
      <c r="D48" s="257" t="s">
        <v>136</v>
      </c>
      <c r="E48" s="147" t="str">
        <f>IF((C48=""),VLOOKUP(A48,Questions!B$18:G$258,4,FALSE),IF(C48="Yes",VLOOKUP(A48,Questions!B$18:G$258,6,FALSE),IF(C48="No",VLOOKUP(A48,Questions!B$18:G$258,5,FALSE),"N/A")))</f>
        <v>Provide a reference to your employee onboarding and offboarding policy and supporting documentation or submit it along with this fully populated HECVAT.</v>
      </c>
      <c r="F48" s="151" t="str">
        <f>VLOOKUP(A48,'Analyst Report'!$A$39:$E$288,5,FALSE)</f>
        <v xml:space="preserve"> </v>
      </c>
    </row>
    <row r="49" spans="1:7" ht="64.5" customHeight="1">
      <c r="A49" s="10" t="s">
        <v>137</v>
      </c>
      <c r="B49" s="21" t="str">
        <f>VLOOKUP(A49,Questions!$B$3:$C$256,2,FALSE)</f>
        <v>Do you have a documented change management process?</v>
      </c>
      <c r="C49" s="8" t="s">
        <v>102</v>
      </c>
      <c r="D49" s="258" t="s">
        <v>138</v>
      </c>
      <c r="E49" s="147" t="str">
        <f>IF((C49=""),VLOOKUP(A49,Questions!B$18:G$258,4,FALSE),IF(C49="Yes",VLOOKUP(A49,Questions!B$18:G$258,6,FALSE),IF(C49="No",VLOOKUP(A49,Questions!B$18:G$258,5,FALSE),"N/A")))</f>
        <v>Summarize your current change management process.</v>
      </c>
      <c r="F49" s="151" t="str">
        <f>VLOOKUP(A49,'Analyst Report'!$A$39:$E$288,5,FALSE)</f>
        <v xml:space="preserve"> </v>
      </c>
    </row>
    <row r="50" spans="1:7" ht="93" customHeight="1">
      <c r="A50" s="10" t="s">
        <v>139</v>
      </c>
      <c r="B50" s="21" t="str">
        <f>VLOOKUP(A50,Questions!$B$3:$C$256,2,FALSE)</f>
        <v>Has a VPAT or ACR been created or updated for the product and version under consideration within the past year?</v>
      </c>
      <c r="C50" s="8" t="s">
        <v>102</v>
      </c>
      <c r="D50" s="257" t="s">
        <v>140</v>
      </c>
      <c r="E50" s="147" t="str">
        <f>IF((C50=""),VLOOKUP(A50,Questions!B$18:G$258,4,FALSE),IF(C50="Yes",VLOOKUP(A50,Questions!B$18:G$258,6,FALSE),IF(C50="No",VLOOKUP(A50,Questions!B$18:G$258,5,FALSE),"N/A")))</f>
        <v>State the date the VPAT was completed. Include this VPAT in your submission and/or link to its web location.</v>
      </c>
      <c r="F50" s="151" t="str">
        <f>VLOOKUP(A50,'Analyst Report'!$A$39:$E$288,5,FALSE)</f>
        <v xml:space="preserve"> </v>
      </c>
    </row>
    <row r="51" spans="1:7" ht="64.5" customHeight="1">
      <c r="A51" s="10" t="s">
        <v>141</v>
      </c>
      <c r="B51" s="21" t="str">
        <f>VLOOKUP(A51,Questions!$B$3:$C$256,2,FALSE)</f>
        <v>Do you have documentation to support the accessibility features of your product?</v>
      </c>
      <c r="C51" s="8" t="s">
        <v>102</v>
      </c>
      <c r="D51" s="257" t="s">
        <v>142</v>
      </c>
      <c r="E51" s="147" t="str">
        <f>IF((C51=""),VLOOKUP(A51,Questions!B$18:G$258,4,FALSE),IF(C51="Yes",VLOOKUP(A51,Questions!B$18:G$258,6,FALSE),IF(C51="No",VLOOKUP(A51,Questions!B$18:G$258,5,FALSE),"N/A")))</f>
        <v>Provide examples with links where possible.</v>
      </c>
      <c r="F51" s="151" t="str">
        <f>VLOOKUP(A51,'Analyst Report'!$A$39:$E$288,5,FALSE)</f>
        <v xml:space="preserve"> </v>
      </c>
      <c r="G51" s="239" t="s">
        <v>91</v>
      </c>
    </row>
    <row r="52" spans="1:7" ht="36" customHeight="1">
      <c r="A52" s="308" t="s">
        <v>143</v>
      </c>
      <c r="B52" s="309"/>
      <c r="C52" s="18" t="s">
        <v>94</v>
      </c>
      <c r="D52" s="18" t="s">
        <v>95</v>
      </c>
      <c r="E52" s="146" t="s">
        <v>96</v>
      </c>
      <c r="F52" s="150" t="s">
        <v>97</v>
      </c>
    </row>
    <row r="53" spans="1:7" ht="48" customHeight="1">
      <c r="A53" s="10" t="s">
        <v>144</v>
      </c>
      <c r="B53" s="21" t="str">
        <f>VLOOKUP(A53,Questions!$B$3:$C$256,2,FALSE)</f>
        <v>Has a third-party expert conducted an audit of the most recent version of your product?</v>
      </c>
      <c r="C53" s="8" t="s">
        <v>102</v>
      </c>
      <c r="D53" s="256" t="s">
        <v>145</v>
      </c>
      <c r="E53" s="147" t="str">
        <f>IF((C53=""),VLOOKUP(A53,Questions!B$18:G$258,4,FALSE),IF(C53="Yes",VLOOKUP(A53,Questions!B$18:G$258,6,FALSE),IF(C53="No",VLOOKUP(A53,Questions!B$18:G$258,5,FALSE),"N/A")))</f>
        <v>State when the audit was conducted and by whom. Include the results in your submission and/or link to its web location.</v>
      </c>
      <c r="F53" s="151" t="str">
        <f>VLOOKUP(A53,'Analyst Report'!$A$39:$E$288,5,FALSE)</f>
        <v xml:space="preserve"> </v>
      </c>
    </row>
    <row r="54" spans="1:7" ht="60" customHeight="1">
      <c r="A54" s="10" t="s">
        <v>146</v>
      </c>
      <c r="B54" s="21" t="str">
        <f>VLOOKUP(A54,Questions!$B$3:$C$256,2,FALSE)</f>
        <v>Do you have a documented and implemented process for verifying accessibility conformance?</v>
      </c>
      <c r="C54" s="8" t="s">
        <v>102</v>
      </c>
      <c r="D54" s="256" t="s">
        <v>147</v>
      </c>
      <c r="E54" s="147" t="str">
        <f>IF((C54=""),VLOOKUP(A54,Questions!B$18:G$258,4,FALSE),IF(C54="Yes",VLOOKUP(A54,Questions!B$18:G$258,6,FALSE),IF(C54="No",VLOOKUP(A54,Questions!B$18:G$258,5,FALSE),"N/A")))</f>
        <v>Describe your processes and methodologies for validating accessibility conformance.</v>
      </c>
      <c r="F54" s="151" t="str">
        <f>VLOOKUP(A54,'Analyst Report'!$A$39:$E$288,5,FALSE)</f>
        <v xml:space="preserve"> </v>
      </c>
    </row>
    <row r="55" spans="1:7" ht="48" customHeight="1">
      <c r="A55" s="10" t="s">
        <v>148</v>
      </c>
      <c r="B55" s="21" t="str">
        <f>VLOOKUP(A55,Questions!$B$3:$C$256,2,FALSE)</f>
        <v>Have you adopted a technical or legal standard of conformance for the product in question?</v>
      </c>
      <c r="C55" s="8" t="s">
        <v>102</v>
      </c>
      <c r="D55" s="256" t="s">
        <v>149</v>
      </c>
      <c r="E55" s="147" t="str">
        <f>IF((C55=""),VLOOKUP(A55,Questions!B$18:G$258,4,FALSE),IF(C55="Yes",VLOOKUP(A55,Questions!B$18:G$258,6,FALSE),IF(C55="No",VLOOKUP(A55,Questions!B$18:G$258,5,FALSE),"N/A")))</f>
        <v>Indicate which primary standards and comment upon any additional standards the product meets.</v>
      </c>
      <c r="F55" s="151" t="str">
        <f>VLOOKUP(A55,'Analyst Report'!$A$39:$E$288,5,FALSE)</f>
        <v xml:space="preserve"> </v>
      </c>
    </row>
    <row r="56" spans="1:7" ht="61.5" customHeight="1">
      <c r="A56" s="10" t="s">
        <v>150</v>
      </c>
      <c r="B56" s="21" t="str">
        <f>VLOOKUP(A56,Questions!$B$3:$C$256,2,FALSE)</f>
        <v>Can you provide a current, detailed accessibility roadmap with delivery timelines?</v>
      </c>
      <c r="C56" s="8" t="s">
        <v>102</v>
      </c>
      <c r="D56" s="256" t="s">
        <v>151</v>
      </c>
      <c r="E56" s="147" t="str">
        <f>IF((C56=""),VLOOKUP(A56,Questions!B$18:G$258,4,FALSE),IF(C56="Yes",VLOOKUP(A56,Questions!B$18:G$258,6,FALSE),IF(C56="No",VLOOKUP(A56,Questions!B$18:G$258,5,FALSE),"N/A")))</f>
        <v>Comment upon how far into the future the roadmap extends. Provide evidence (including links) of having delivered upon the accessibility roadmap in the past.</v>
      </c>
      <c r="F56" s="151" t="str">
        <f>VLOOKUP(A56,'Analyst Report'!$A$39:$E$288,5,FALSE)</f>
        <v xml:space="preserve"> </v>
      </c>
    </row>
    <row r="57" spans="1:7" ht="131.25" customHeight="1">
      <c r="A57" s="10" t="s">
        <v>152</v>
      </c>
      <c r="B57" s="21" t="str">
        <f>VLOOKUP(A57,Questions!$B$3:$C$256,2,FALSE)</f>
        <v>Do you expect your staff to maintain a current skill set in IT accessibility?</v>
      </c>
      <c r="C57" s="8" t="s">
        <v>102</v>
      </c>
      <c r="D57" s="256" t="s">
        <v>153</v>
      </c>
      <c r="E57" s="147" t="str">
        <f>IF((C57=""),VLOOKUP(A57,Questions!B$18:G$258,4,FALSE),IF(C57="Yes",VLOOKUP(A57,Questions!B$18:G$258,6,FALSE),IF(C57="No",VLOOKUP(A57,Questions!B$18:G$258,5,FALSE),"N/A")))</f>
        <v>Provide any further relevant information about how expertise is maintained; include any accessibility certifications staff may hold (e.g., IAAP WAS &lt;https://www.accessibilityassociation.org/certifications&gt; or DHS Trusted Tester &lt;https://section508.gov/test/trusted-tester&gt;).</v>
      </c>
      <c r="F57" s="151" t="str">
        <f>VLOOKUP(A57,'Analyst Report'!$A$39:$E$288,5,FALSE)</f>
        <v xml:space="preserve"> </v>
      </c>
    </row>
    <row r="58" spans="1:7" ht="48" customHeight="1">
      <c r="A58" s="10" t="s">
        <v>154</v>
      </c>
      <c r="B58" s="21" t="str">
        <f>VLOOKUP(A58,Questions!$B$3:$C$256,2,FALSE)</f>
        <v>Do you have a documented and implemented process for reporting and tracking accessibility issues?</v>
      </c>
      <c r="C58" s="8" t="s">
        <v>102</v>
      </c>
      <c r="D58" s="256" t="s">
        <v>155</v>
      </c>
      <c r="E58" s="147" t="str">
        <f>IF((C58=""),VLOOKUP(A58,Questions!B$18:G$258,4,FALSE),IF(C58="Yes",VLOOKUP(A58,Questions!B$18:G$258,6,FALSE),IF(C58="No",VLOOKUP(A58,Questions!B$18:G$258,5,FALSE),"N/A")))</f>
        <v>Describe the process and any recent examples of fixes as a result of the process.</v>
      </c>
      <c r="F58" s="151" t="str">
        <f>VLOOKUP(A58,'Analyst Report'!$A$39:$E$288,5,FALSE)</f>
        <v xml:space="preserve"> </v>
      </c>
    </row>
    <row r="59" spans="1:7" ht="48" customHeight="1">
      <c r="A59" s="10" t="s">
        <v>156</v>
      </c>
      <c r="B59" s="21" t="str">
        <f>VLOOKUP(A59,Questions!$B$3:$C$256,2,FALSE)</f>
        <v>Do you have documented processes and procedures for implementing accessibility into your development lifecycle?</v>
      </c>
      <c r="C59" s="8" t="s">
        <v>102</v>
      </c>
      <c r="D59" s="256" t="s">
        <v>157</v>
      </c>
      <c r="E59" s="147" t="str">
        <f>IF((C59=""),VLOOKUP(A59,Questions!B$18:G$258,4,FALSE),IF(C59="Yes",VLOOKUP(A59,Questions!B$18:G$258,6,FALSE),IF(C59="No",VLOOKUP(A59,Questions!B$18:G$258,5,FALSE),"N/A")))</f>
        <v>Provide further details or multiple means in Additional Information.</v>
      </c>
      <c r="F59" s="151" t="str">
        <f>VLOOKUP(A59,'Analyst Report'!$A$39:$E$288,5,FALSE)</f>
        <v xml:space="preserve"> </v>
      </c>
    </row>
    <row r="60" spans="1:7" ht="48" customHeight="1">
      <c r="A60" s="10" t="s">
        <v>158</v>
      </c>
      <c r="B60" s="21" t="str">
        <f>VLOOKUP(A60,Questions!$B$3:$C$256,2,FALSE)</f>
        <v>Can all functions of the application or service be performed using only the keyboard?</v>
      </c>
      <c r="C60" s="8" t="s">
        <v>102</v>
      </c>
      <c r="D60" s="256" t="s">
        <v>159</v>
      </c>
      <c r="E60" s="147" t="str">
        <f>IF((C60=""),VLOOKUP(A60,Questions!B$18:G$258,4,FALSE),IF(C60="Yes",VLOOKUP(A60,Questions!B$18:G$258,6,FALSE),IF(C60="No",VLOOKUP(A60,Questions!B$18:G$258,5,FALSE),"N/A")))</f>
        <v>State when and on which platform this was verified.</v>
      </c>
      <c r="F60" s="151" t="str">
        <f>VLOOKUP(A60,'Analyst Report'!$A$39:$E$288,5,FALSE)</f>
        <v xml:space="preserve"> </v>
      </c>
    </row>
    <row r="61" spans="1:7" ht="73.5" customHeight="1">
      <c r="A61" s="10" t="s">
        <v>160</v>
      </c>
      <c r="B61" s="21" t="str">
        <f>VLOOKUP(A61,Questions!$B$3:$C$256,2,FALSE)</f>
        <v>Does your product rely on activating a special "accessibility mode," a "lite version," or accessing an alternate interface for accessibility purposes?</v>
      </c>
      <c r="C61" s="8" t="s">
        <v>102</v>
      </c>
      <c r="D61" s="256" t="s">
        <v>161</v>
      </c>
      <c r="E61" s="147" t="str">
        <f>IF((C61=""),VLOOKUP(A61,Questions!B$18:G$258,4,FALSE),IF(C61="Yes",VLOOKUP(A61,Questions!B$18:G$258,6,FALSE),IF(C61="No",VLOOKUP(A61,Questions!B$18:G$258,5,FALSE),"N/A")))</f>
        <v>Describe any feature differences between standard and accessible modes along with any timelines or plans to merge products into a universally designed platform.</v>
      </c>
      <c r="F61" s="151" t="str">
        <f>VLOOKUP(A61,'Analyst Report'!$A$39:$E$288,5,FALSE)</f>
        <v xml:space="preserve"> </v>
      </c>
      <c r="G61" s="239" t="s">
        <v>91</v>
      </c>
    </row>
    <row r="62" spans="1:7" ht="36" customHeight="1">
      <c r="A62" s="283" t="str">
        <f>IF($C$29="No","Assessment of Third Parties - Optional based on QUALIFIER response.","Assessment of Third Parties")</f>
        <v>Assessment of Third Parties</v>
      </c>
      <c r="B62" s="283"/>
      <c r="C62" s="18" t="s">
        <v>94</v>
      </c>
      <c r="D62" s="18" t="s">
        <v>95</v>
      </c>
      <c r="E62" s="146" t="s">
        <v>96</v>
      </c>
      <c r="F62" s="150" t="s">
        <v>97</v>
      </c>
    </row>
    <row r="63" spans="1:7" ht="96" customHeight="1">
      <c r="A63" s="10" t="s">
        <v>162</v>
      </c>
      <c r="B63" s="21" t="str">
        <f>VLOOKUP(A63,Questions!$B$3:$C$256,2,FALSE)</f>
        <v>Do you perform security assessments of third-party companies with which you share data? (e.g., hosting providers, cloud services, PaaS, IaaS, SaaS)</v>
      </c>
      <c r="C63" s="8" t="s">
        <v>102</v>
      </c>
      <c r="D63" s="259" t="s">
        <v>163</v>
      </c>
      <c r="E63" s="147" t="str">
        <f>IF((C63=""),VLOOKUP(A63,Questions!B$18:G$258,4,FALSE),IF(C63="Yes",VLOOKUP(A63,Questions!B$18:G$258,6,FALSE),IF(C63="No",VLOOKUP(A63,Questions!B$18:G$258,5,FALSE),"N/A")))</f>
        <v>Provide a summary of your practices that assures that the third party will be subject to the appropriate standards regarding security, service recoverability, and confidentiality.</v>
      </c>
      <c r="F63" s="151" t="str">
        <f>VLOOKUP(A63,'Analyst Report'!$A$39:$E$288,5,FALSE)</f>
        <v xml:space="preserve"> </v>
      </c>
    </row>
    <row r="64" spans="1:7" ht="80.25" customHeight="1">
      <c r="A64" s="10" t="s">
        <v>164</v>
      </c>
      <c r="B64" s="21" t="str">
        <f>VLOOKUP(A64,Questions!$B$3:$C$256,2,FALSE)</f>
        <v>Provide a brief description for why each of these third parties will have access to institutional data.</v>
      </c>
      <c r="C64" s="312" t="s">
        <v>165</v>
      </c>
      <c r="D64" s="312"/>
      <c r="E64" s="147" t="str">
        <f>IF((C64=""),VLOOKUP(A64,Questions!B$18:G$258,4,FALSE),IF(C64="Yes",VLOOKUP(A64,Questions!B$18:G$258,6,FALSE),IF(C64="No",VLOOKUP(A64,Questions!B$18:G$258,5,FALSE),"N/A")))</f>
        <v>N/A</v>
      </c>
      <c r="F64" s="151" t="str">
        <f>VLOOKUP(A64,'Analyst Report'!$A$39:$E$288,5,FALSE)</f>
        <v xml:space="preserve"> </v>
      </c>
    </row>
    <row r="65" spans="1:7" ht="80.25" customHeight="1">
      <c r="A65" s="10" t="s">
        <v>166</v>
      </c>
      <c r="B65" s="21" t="str">
        <f>VLOOKUP(A65,Questions!$B$3:$C$256,2,FALSE)</f>
        <v>What legal agreements (i.e., contracts) do you have in place with these third parties that address liability in the event of a data breach?</v>
      </c>
      <c r="C65" s="312" t="s">
        <v>167</v>
      </c>
      <c r="D65" s="312"/>
      <c r="E65" s="147" t="str">
        <f>IF((C65=""),VLOOKUP(A65,Questions!B$18:G$258,4,FALSE),IF(C65="Yes",VLOOKUP(A65,Questions!B$18:G$258,6,FALSE),IF(C65="No",VLOOKUP(A65,Questions!B$18:G$258,5,FALSE),"N/A")))</f>
        <v>N/A</v>
      </c>
      <c r="F65" s="151" t="str">
        <f>VLOOKUP(A65,'Analyst Report'!$A$39:$E$288,5,FALSE)</f>
        <v xml:space="preserve"> </v>
      </c>
    </row>
    <row r="66" spans="1:7" ht="80.25" customHeight="1">
      <c r="A66" s="10" t="s">
        <v>168</v>
      </c>
      <c r="B66" s="21" t="str">
        <f>VLOOKUP(A66,Questions!$B$3:$C$256,2,FALSE)</f>
        <v>Do you have an implemented third-party management strategy?</v>
      </c>
      <c r="C66" s="8" t="s">
        <v>102</v>
      </c>
      <c r="D66" s="259" t="s">
        <v>169</v>
      </c>
      <c r="E66" s="147" t="str">
        <f>IF((C66=""),VLOOKUP(A66,Questions!B$18:G$258,4,FALSE),IF(C66="Yes",VLOOKUP(A66,Questions!B$18:G$258,6,FALSE),IF(C66="No",VLOOKUP(A66,Questions!B$18:G$258,5,FALSE),"N/A")))</f>
        <v>Provide additional information that may help analysts better understand your environment and how it relates to third-party solutions.</v>
      </c>
      <c r="F66" s="151" t="str">
        <f>VLOOKUP(A66,'Analyst Report'!$A$39:$E$288,5,FALSE)</f>
        <v xml:space="preserve"> </v>
      </c>
    </row>
    <row r="67" spans="1:7" ht="80.25" customHeight="1">
      <c r="A67" s="10" t="s">
        <v>170</v>
      </c>
      <c r="B67" s="21" t="str">
        <f>VLOOKUP(A67,Questions!$B$3:$C$256,2,FALSE)</f>
        <v>Do you have a process and implemented procedures for managing your hardware supply chain? (e.g., telecommunications equipment, export licensing, computing devices)</v>
      </c>
      <c r="C67" s="8" t="s">
        <v>102</v>
      </c>
      <c r="D67" s="259" t="s">
        <v>171</v>
      </c>
      <c r="E67" s="147" t="str">
        <f>IF((C67=""),VLOOKUP(A67,Questions!B$18:G$258,4,FALSE),IF(C67="Yes",VLOOKUP(A67,Questions!B$18:G$258,6,FALSE),IF(C67="No",VLOOKUP(A67,Questions!B$18:G$258,5,FALSE),"N/A")))</f>
        <v>State what countries and/or regions this process is compliant with.</v>
      </c>
      <c r="F67" s="151" t="str">
        <f>VLOOKUP(A67,'Analyst Report'!$A$39:$E$288,5,FALSE)</f>
        <v xml:space="preserve"> </v>
      </c>
      <c r="G67" s="239" t="s">
        <v>91</v>
      </c>
    </row>
    <row r="68" spans="1:7" ht="36" customHeight="1">
      <c r="A68" s="283" t="str">
        <f>IF(Questions!D23&lt;&gt;"","Consulting",IF(Questions!D23&lt;&gt;"Yes","Consulting - All questions after this section are OPTIONAL.","Consulting - Optional based on QUALIFIER response."))</f>
        <v>Consulting</v>
      </c>
      <c r="B68" s="283"/>
      <c r="C68" s="18" t="s">
        <v>94</v>
      </c>
      <c r="D68" s="18" t="s">
        <v>95</v>
      </c>
      <c r="E68" s="146" t="s">
        <v>96</v>
      </c>
      <c r="F68" s="150" t="s">
        <v>97</v>
      </c>
    </row>
    <row r="69" spans="1:7" ht="48" customHeight="1">
      <c r="A69" s="10" t="s">
        <v>172</v>
      </c>
      <c r="B69" s="21" t="str">
        <f>VLOOKUP(A69,Questions!$B$3:$C$256,2,FALSE)</f>
        <v>Will the consulting take place on-premises?</v>
      </c>
      <c r="C69" s="8"/>
      <c r="D69" s="22" t="s">
        <v>173</v>
      </c>
      <c r="E69" s="147" t="str">
        <f>IF((C69=""),VLOOKUP(A69,Questions!B:G,4,FALSE),IF(C69="Yes",VLOOKUP(A69,Questions!B:G,6,FALSE),IF(C69="No",VLOOKUP(A69,Questions!B:G,5,FALSE),"N/A")))</f>
        <v xml:space="preserve"> </v>
      </c>
      <c r="F69" s="151" t="str">
        <f>VLOOKUP(A69,'Analyst Report'!$A$39:$E$288,5,FALSE)</f>
        <v xml:space="preserve"> </v>
      </c>
    </row>
    <row r="70" spans="1:7" ht="63" customHeight="1">
      <c r="A70" s="10" t="s">
        <v>174</v>
      </c>
      <c r="B70" s="21" t="str">
        <f>VLOOKUP(A70,Questions!$B$3:$C$256,2,FALSE)</f>
        <v>Will the consultant require access to the institution's network resources?</v>
      </c>
      <c r="C70" s="8"/>
      <c r="D70" s="22" t="s">
        <v>173</v>
      </c>
      <c r="E70" s="147" t="str">
        <f>IF((C70=""),VLOOKUP(A70,Questions!B:G,4,FALSE),IF(C70="Yes",VLOOKUP(A70,Questions!B:G,6,FALSE),IF(C70="No",VLOOKUP(A70,Questions!B:G,5,FALSE),"N/A")))</f>
        <v xml:space="preserve"> </v>
      </c>
      <c r="F70" s="151" t="str">
        <f>VLOOKUP(A70,'Analyst Report'!$A$39:$E$288,5,FALSE)</f>
        <v xml:space="preserve"> </v>
      </c>
    </row>
    <row r="71" spans="1:7" ht="63" customHeight="1">
      <c r="A71" s="10" t="s">
        <v>175</v>
      </c>
      <c r="B71" s="21" t="str">
        <f>VLOOKUP(A71,Questions!$B$3:$C$256,2,FALSE)</f>
        <v>Will the consultant require access to hardware in the institution's data centers?</v>
      </c>
      <c r="C71" s="8"/>
      <c r="D71" s="22" t="s">
        <v>173</v>
      </c>
      <c r="E71" s="147" t="str">
        <f>IF((C71=""),VLOOKUP(A71,Questions!B:G,4,FALSE),IF(C71="Yes",VLOOKUP(A71,Questions!B:G,6,FALSE),IF(C71="No",VLOOKUP(A71,Questions!B:G,5,FALSE),"N/A")))</f>
        <v xml:space="preserve"> </v>
      </c>
      <c r="F71" s="151" t="str">
        <f>VLOOKUP(A71,'Analyst Report'!$A$39:$E$288,5,FALSE)</f>
        <v xml:space="preserve"> </v>
      </c>
    </row>
    <row r="72" spans="1:7" ht="48" customHeight="1">
      <c r="A72" s="10" t="s">
        <v>176</v>
      </c>
      <c r="B72" s="21" t="str">
        <f>VLOOKUP(A72,Questions!$B$3:$C$256,2,FALSE)</f>
        <v>Will the consultant require an account within the institution's domain (@*.edu)?</v>
      </c>
      <c r="C72" s="8"/>
      <c r="D72" s="22" t="s">
        <v>173</v>
      </c>
      <c r="E72" s="147" t="str">
        <f>IF((C72=""),VLOOKUP(A72,Questions!B:G,4,FALSE),IF(C72="Yes",VLOOKUP(A72,Questions!B:G,6,FALSE),IF(C72="No",VLOOKUP(A72,Questions!B:G,5,FALSE),"N/A")))</f>
        <v xml:space="preserve"> </v>
      </c>
      <c r="F72" s="151" t="str">
        <f>VLOOKUP(A72,'Analyst Report'!$A$39:$E$288,5,FALSE)</f>
        <v xml:space="preserve"> </v>
      </c>
    </row>
    <row r="73" spans="1:7" ht="48" customHeight="1">
      <c r="A73" s="10" t="s">
        <v>177</v>
      </c>
      <c r="B73" s="21" t="str">
        <f>VLOOKUP(A73,Questions!$B$3:$C$256,2,FALSE)</f>
        <v>Has the consultant received training on (sensitive, HIPAA, PCI, etc.) data handling?</v>
      </c>
      <c r="C73" s="8"/>
      <c r="D73" s="22" t="s">
        <v>173</v>
      </c>
      <c r="E73" s="147" t="str">
        <f>IF((C73=""),VLOOKUP(A73,Questions!B:G,4,FALSE),IF(C73="Yes",VLOOKUP(A73,Questions!B:G,6,FALSE),IF(C73="No",VLOOKUP(A73,Questions!B:G,5,FALSE),"N/A")))</f>
        <v xml:space="preserve"> </v>
      </c>
      <c r="F73" s="151" t="str">
        <f>VLOOKUP(A73,'Analyst Report'!$A$39:$E$288,5,FALSE)</f>
        <v xml:space="preserve"> </v>
      </c>
    </row>
    <row r="74" spans="1:7" ht="48" customHeight="1">
      <c r="A74" s="10" t="s">
        <v>178</v>
      </c>
      <c r="B74" s="21" t="str">
        <f>VLOOKUP(A74,Questions!$B$3:$C$256,2,FALSE)</f>
        <v>Will any data be transferred to the consultant's possession?</v>
      </c>
      <c r="C74" s="8"/>
      <c r="D74" s="22" t="s">
        <v>173</v>
      </c>
      <c r="E74" s="147" t="str">
        <f>IF((C74=""),VLOOKUP(A74,Questions!B:G,4,FALSE),IF(C74="Yes",VLOOKUP(A74,Questions!B:G,6,FALSE),IF(C74="No",VLOOKUP(A74,Questions!B:G,5,FALSE),"N/A")))</f>
        <v xml:space="preserve"> </v>
      </c>
      <c r="F74" s="151" t="str">
        <f>VLOOKUP(A74,'Analyst Report'!$A$39:$E$288,5,FALSE)</f>
        <v xml:space="preserve"> </v>
      </c>
    </row>
    <row r="75" spans="1:7" s="1" customFormat="1" ht="48" customHeight="1">
      <c r="A75" s="10" t="s">
        <v>179</v>
      </c>
      <c r="B75" s="21" t="str">
        <f>VLOOKUP(A75,Questions!$B$3:$C$256,2,FALSE)</f>
        <v>Is it encrypted (at rest) while in the consultant's possession?</v>
      </c>
      <c r="C75" s="74"/>
      <c r="D75" s="22" t="s">
        <v>173</v>
      </c>
      <c r="E75" s="147" t="str">
        <f>IF((C75=""),VLOOKUP(A75,Questions!B:G,4,FALSE),IF(C75="Yes",VLOOKUP(A75,Questions!B:G,6,FALSE),IF(C75="No",VLOOKUP(A75,Questions!B:G,5,FALSE),"N/A")))</f>
        <v xml:space="preserve"> </v>
      </c>
      <c r="F75" s="151" t="str">
        <f>VLOOKUP(A75,'Analyst Report'!$A$39:$E$288,5,FALSE)</f>
        <v xml:space="preserve"> </v>
      </c>
      <c r="G75" s="4"/>
    </row>
    <row r="76" spans="1:7" ht="48" customHeight="1">
      <c r="A76" s="10" t="s">
        <v>180</v>
      </c>
      <c r="B76" s="21" t="str">
        <f>VLOOKUP(A76,Questions!$B$3:$C$256,2,FALSE)</f>
        <v>Will the consultant need remote access to the institution's network or systems?</v>
      </c>
      <c r="C76" s="8"/>
      <c r="D76" s="22" t="s">
        <v>173</v>
      </c>
      <c r="E76" s="147" t="str">
        <f>IF((C76=""),VLOOKUP(A76,Questions!B:G,4,FALSE),IF(C76="Yes",VLOOKUP(A76,Questions!B:G,6,FALSE),IF(C76="No",VLOOKUP(A76,Questions!B:G,5,FALSE),"N/A")))</f>
        <v xml:space="preserve"> </v>
      </c>
      <c r="F76" s="151" t="str">
        <f>VLOOKUP(A76,'Analyst Report'!$A$39:$E$288,5,FALSE)</f>
        <v xml:space="preserve"> </v>
      </c>
    </row>
    <row r="77" spans="1:7" s="1" customFormat="1" ht="48" customHeight="1">
      <c r="A77" s="10" t="s">
        <v>181</v>
      </c>
      <c r="B77" s="21" t="str">
        <f>VLOOKUP(A77,Questions!$B$3:$C$256,2,FALSE)</f>
        <v>Can we restrict that access based on source IP address?</v>
      </c>
      <c r="C77" s="8"/>
      <c r="D77" s="22" t="s">
        <v>173</v>
      </c>
      <c r="E77" s="147" t="str">
        <f>IF((C77=""),VLOOKUP(A77,Questions!B:G,4,FALSE),IF(C77="Yes",VLOOKUP(A77,Questions!B:G,6,FALSE),IF(C77="No",VLOOKUP(A77,Questions!B:G,5,FALSE),"N/A")))</f>
        <v xml:space="preserve"> </v>
      </c>
      <c r="F77" s="151" t="str">
        <f>VLOOKUP(A77,'Analyst Report'!$A$39:$E$288,5,FALSE)</f>
        <v xml:space="preserve"> </v>
      </c>
      <c r="G77" s="239" t="s">
        <v>91</v>
      </c>
    </row>
    <row r="78" spans="1:7" ht="36" customHeight="1">
      <c r="A78" s="283" t="s">
        <v>182</v>
      </c>
      <c r="B78" s="283"/>
      <c r="C78" s="18" t="s">
        <v>94</v>
      </c>
      <c r="D78" s="18" t="s">
        <v>95</v>
      </c>
      <c r="E78" s="146" t="s">
        <v>96</v>
      </c>
      <c r="F78" s="150" t="s">
        <v>97</v>
      </c>
    </row>
    <row r="79" spans="1:7" ht="89.25" customHeight="1">
      <c r="A79" s="10" t="s">
        <v>183</v>
      </c>
      <c r="B79" s="21" t="str">
        <f>VLOOKUP(A79,Questions!$B$3:$C$256,2,FALSE)</f>
        <v>Are access controls for institutional accounts based on structured rules, such as role-based access control (RBAC), attribute-based access control (ABAC), or policy-based access control (PBAC)?</v>
      </c>
      <c r="C79" s="8" t="s">
        <v>102</v>
      </c>
      <c r="D79" s="256" t="s">
        <v>184</v>
      </c>
      <c r="E79" s="147" t="str">
        <f>IF((C79=""),VLOOKUP(A79,Questions!B:G,4,FALSE),IF(C79="Yes",VLOOKUP(A79,Questions!B:G,6,FALSE),IF(C79="No",VLOOKUP(A79,Questions!B:G,5,FALSE),"N/A")))</f>
        <v>Describe available roles.</v>
      </c>
      <c r="F79" s="151" t="str">
        <f>VLOOKUP(A79,'Analyst Report'!$A$39:$E$288,5,FALSE)</f>
        <v xml:space="preserve"> </v>
      </c>
    </row>
    <row r="80" spans="1:7" ht="93.75" customHeight="1">
      <c r="A80" s="10" t="s">
        <v>185</v>
      </c>
      <c r="B80" s="21" t="str">
        <f>VLOOKUP(A80,Questions!$B$3:$C$256,2,FALSE)</f>
        <v>Are access controls for staff within your organization based on structured rules, such as RBAC, ABAC, or PBAC?</v>
      </c>
      <c r="C80" s="8" t="s">
        <v>102</v>
      </c>
      <c r="D80" s="256" t="s">
        <v>186</v>
      </c>
      <c r="E80" s="147" t="str">
        <f>IF((C80=""),VLOOKUP(A80,Questions!B:G,4,FALSE),IF(C80="Yes",VLOOKUP(A80,Questions!B:G,6,FALSE),IF(C80="No",VLOOKUP(A80,Questions!B:G,5,FALSE),"N/A")))</f>
        <v xml:space="preserve"> </v>
      </c>
      <c r="F80" s="151" t="str">
        <f>VLOOKUP(A80,'Analyst Report'!$A$39:$E$288,5,FALSE)</f>
        <v xml:space="preserve"> </v>
      </c>
    </row>
    <row r="81" spans="1:7" ht="48" customHeight="1">
      <c r="A81" s="10" t="s">
        <v>187</v>
      </c>
      <c r="B81" s="21" t="str">
        <f>VLOOKUP(A81,Questions!$B$3:$C$256,2,FALSE)</f>
        <v>Does the system provide data input validation and error messages?</v>
      </c>
      <c r="C81" s="8" t="s">
        <v>102</v>
      </c>
      <c r="D81" s="211" t="s">
        <v>188</v>
      </c>
      <c r="E81" s="147" t="str">
        <f>IF((C81=""),VLOOKUP(A81,Questions!B:G,4,FALSE),IF(C81="Yes",VLOOKUP(A81,Questions!B:G,6,FALSE),IF(C81="No",VLOOKUP(A81,Questions!B:G,5,FALSE),"N/A")))</f>
        <v>Describe how your system(s) provide data input validation and error messages.</v>
      </c>
      <c r="F81" s="151" t="str">
        <f>VLOOKUP(A81,'Analyst Report'!$A$39:$E$288,5,FALSE)</f>
        <v xml:space="preserve"> </v>
      </c>
    </row>
    <row r="82" spans="1:7" ht="54" customHeight="1">
      <c r="A82" s="10" t="s">
        <v>189</v>
      </c>
      <c r="B82" s="21" t="str">
        <f>VLOOKUP(A82,Questions!$B$3:$C$256,2,FALSE)</f>
        <v>Are you using a web application firewall (WAF)?</v>
      </c>
      <c r="C82" s="8" t="s">
        <v>102</v>
      </c>
      <c r="D82" s="256" t="s">
        <v>190</v>
      </c>
      <c r="E82" s="147" t="str">
        <f>IF((C82=""),VLOOKUP(A82,Questions!B:G,4,FALSE),IF(C82="Yes",VLOOKUP(A82,Questions!B:G,6,FALSE),IF(C82="No",VLOOKUP(A82,Questions!B:G,5,FALSE),"N/A")))</f>
        <v>Describe the currently implemented WAF.</v>
      </c>
      <c r="F82" s="151" t="str">
        <f>VLOOKUP(A82,'Analyst Report'!$A$39:$E$288,5,FALSE)</f>
        <v xml:space="preserve"> </v>
      </c>
    </row>
    <row r="83" spans="1:7" ht="48" customHeight="1">
      <c r="A83" s="10" t="s">
        <v>191</v>
      </c>
      <c r="B83" s="21" t="str">
        <f>VLOOKUP(A83,Questions!$B$3:$C$256,2,FALSE)</f>
        <v>Do you have a process and implemented procedures for managing your software supply chain (e.g., libraries, repositories, frameworks, etc.)</v>
      </c>
      <c r="C83" s="8" t="s">
        <v>102</v>
      </c>
      <c r="D83" s="256" t="s">
        <v>192</v>
      </c>
      <c r="E83" s="147" t="str">
        <f>IF((C83=""),VLOOKUP(A83,Questions!B:G,4,FALSE),IF(C83="Yes",VLOOKUP(A83,Questions!B:G,6,FALSE),IF(C83="No",VLOOKUP(A83,Questions!B:G,5,FALSE),"N/A")))</f>
        <v>Provide supporting documentation of your processes.</v>
      </c>
      <c r="F83" s="151" t="str">
        <f>VLOOKUP(A83,'Analyst Report'!$A$39:$E$288,5,FALSE)</f>
        <v xml:space="preserve"> </v>
      </c>
    </row>
    <row r="84" spans="1:7" ht="48" customHeight="1">
      <c r="A84" s="10" t="s">
        <v>193</v>
      </c>
      <c r="B84" s="21" t="str">
        <f>VLOOKUP(A84,Questions!$B$3:$C$256,2,FALSE)</f>
        <v>Are only currently supported operating system(s), software, and libraries leveraged by the system(s)/application(s) that will have access to institution's data?</v>
      </c>
      <c r="C84" s="8" t="s">
        <v>102</v>
      </c>
      <c r="D84" s="24" t="s">
        <v>194</v>
      </c>
      <c r="E84" s="147" t="str">
        <f>IF((C84=""),VLOOKUP(A84,Questions!B:G,4,FALSE),IF(C84="Yes",VLOOKUP(A84,Questions!B:G,6,FALSE),IF(C84="No",VLOOKUP(A84,Questions!B:G,5,FALSE),"N/A")))</f>
        <v>Please provide a list of all required dependencies.</v>
      </c>
      <c r="F84" s="151" t="str">
        <f>VLOOKUP(A84,'Analyst Report'!$A$39:$E$288,5,FALSE)</f>
        <v xml:space="preserve"> </v>
      </c>
    </row>
    <row r="85" spans="1:7" s="1" customFormat="1" ht="43.5" customHeight="1">
      <c r="A85" s="10" t="s">
        <v>195</v>
      </c>
      <c r="B85" s="21" t="str">
        <f>VLOOKUP(A85,Questions!$B$3:$C$256,2,FALSE)</f>
        <v>If mobile, is the application available from a trusted source (e.g., App Store, Google Play Store)?</v>
      </c>
      <c r="C85" s="8" t="s">
        <v>196</v>
      </c>
      <c r="D85" s="9"/>
      <c r="E85" s="147" t="str">
        <f>IF((C85=""),VLOOKUP(A85,Questions!B:G,4,FALSE),IF(C85="Yes",VLOOKUP(A85,Questions!B:G,6,FALSE),IF(C85="No",VLOOKUP(A85,Questions!B:G,5,FALSE),"N/A")))</f>
        <v>N/A</v>
      </c>
      <c r="F85" s="151" t="str">
        <f>VLOOKUP(A85,'Analyst Report'!$A$39:$E$288,5,FALSE)</f>
        <v xml:space="preserve"> </v>
      </c>
      <c r="G85" s="4"/>
    </row>
    <row r="86" spans="1:7" ht="37.5" customHeight="1">
      <c r="A86" s="10" t="s">
        <v>197</v>
      </c>
      <c r="B86" s="21" t="str">
        <f>VLOOKUP(A86,Questions!$B$3:$C$256,2,FALSE)</f>
        <v>Does your application require access to location or GPS data?</v>
      </c>
      <c r="C86" s="8" t="s">
        <v>100</v>
      </c>
      <c r="D86" s="9" t="s">
        <v>198</v>
      </c>
      <c r="E86" s="147" t="str">
        <f>IF((C86=""),VLOOKUP(A86,Questions!B:G,4,FALSE),IF(C86="Yes",VLOOKUP(A86,Questions!B:G,6,FALSE),IF(C86="No",VLOOKUP(A86,Questions!B:G,5,FALSE),"N/A")))</f>
        <v>Please indicate any future plans that would require access to this data</v>
      </c>
      <c r="F86" s="151" t="str">
        <f>VLOOKUP(A86,'Analyst Report'!$A$39:$E$288,5,FALSE)</f>
        <v xml:space="preserve"> </v>
      </c>
    </row>
    <row r="87" spans="1:7" ht="77.25" customHeight="1">
      <c r="A87" s="10" t="s">
        <v>199</v>
      </c>
      <c r="B87" s="21" t="str">
        <f>VLOOKUP(A87,Questions!$B$3:$C$256,2,FALSE)</f>
        <v>Does your application provide separation of duties between security administration, system administration, and standard user functions?</v>
      </c>
      <c r="C87" s="8" t="s">
        <v>102</v>
      </c>
      <c r="D87" s="9" t="s">
        <v>200</v>
      </c>
      <c r="E87" s="147" t="str">
        <f>IF((C87=""),VLOOKUP(A87,Questions!B:G,4,FALSE),IF(C87="Yes",VLOOKUP(A87,Questions!B:G,6,FALSE),IF(C87="No",VLOOKUP(A87,Questions!B:G,5,FALSE),"N/A")))</f>
        <v>Describe or provide a reference to the facilities available in the system to provide separation of duties between security administration and system administration functions.</v>
      </c>
      <c r="F87" s="151" t="str">
        <f>VLOOKUP(A87,'Analyst Report'!$A$39:$E$288,5,FALSE)</f>
        <v xml:space="preserve">  </v>
      </c>
    </row>
    <row r="88" spans="1:7" ht="64.5" customHeight="1">
      <c r="A88" s="10" t="s">
        <v>201</v>
      </c>
      <c r="B88" s="21" t="str">
        <f>VLOOKUP(A88,Questions!$B$3:$C$256,2,FALSE)</f>
        <v>Do you have a fully implemented policy or procedure that details how your employees obtain administrator access to institutional instance of the application?</v>
      </c>
      <c r="C88" s="8" t="s">
        <v>102</v>
      </c>
      <c r="D88" s="9" t="s">
        <v>202</v>
      </c>
      <c r="E88" s="147" t="str">
        <f>IF((C88=""),VLOOKUP(A88,Questions!B:G,4,FALSE),IF(C88="Yes",VLOOKUP(A88,Questions!B:G,6,FALSE),IF(C88="No",VLOOKUP(A88,Questions!B:G,5,FALSE),"N/A")))</f>
        <v>Describe or provide a reference that details how administrator access is handled (e.g., provisioning, principle of least privilege, deprovisioning, etc.).</v>
      </c>
      <c r="F88" s="151" t="str">
        <f>VLOOKUP(A88,'Analyst Report'!$A$39:$E$288,5,FALSE)</f>
        <v xml:space="preserve"> </v>
      </c>
    </row>
    <row r="89" spans="1:7" ht="33" customHeight="1">
      <c r="A89" s="10" t="s">
        <v>203</v>
      </c>
      <c r="B89" s="21" t="str">
        <f>VLOOKUP(A89,Questions!$B$3:$C$256,2,FALSE)</f>
        <v>Have your developers been trained in secure coding techniques?</v>
      </c>
      <c r="C89" s="8" t="s">
        <v>102</v>
      </c>
      <c r="D89" s="9" t="s">
        <v>204</v>
      </c>
      <c r="E89" s="147" t="str">
        <f>IF((C89=""),VLOOKUP(A89,Questions!B:G,4,FALSE),IF(C89="Yes",VLOOKUP(A89,Questions!B:G,6,FALSE),IF(C89="No",VLOOKUP(A89,Questions!B:G,5,FALSE),"N/A")))</f>
        <v>Summarize your secure coding training.</v>
      </c>
      <c r="F89" s="151" t="str">
        <f>VLOOKUP(A89,'Analyst Report'!$A$39:$E$288,5,FALSE)</f>
        <v xml:space="preserve"> </v>
      </c>
    </row>
    <row r="90" spans="1:7" ht="39" customHeight="1">
      <c r="A90" s="10" t="s">
        <v>205</v>
      </c>
      <c r="B90" s="21" t="str">
        <f>VLOOKUP(A90,Questions!$B$3:$C$256,2,FALSE)</f>
        <v>Was your application developed using secure coding techniques?</v>
      </c>
      <c r="C90" s="8" t="s">
        <v>102</v>
      </c>
      <c r="D90" s="9" t="s">
        <v>206</v>
      </c>
      <c r="E90" s="147" t="str">
        <f>IF((C90=""),VLOOKUP(A90,Questions!B:G,4,FALSE),IF(C90="Yes",VLOOKUP(A90,Questions!B:G,6,FALSE),IF(C90="No",VLOOKUP(A90,Questions!B:G,5,FALSE),"N/A")))</f>
        <v>Summarize your secure coding practices.</v>
      </c>
      <c r="F90" s="151" t="str">
        <f>VLOOKUP(A90,'Analyst Report'!$A$39:$E$288,5,FALSE)</f>
        <v xml:space="preserve"> </v>
      </c>
    </row>
    <row r="91" spans="1:7" ht="41.25" customHeight="1">
      <c r="A91" s="10" t="s">
        <v>207</v>
      </c>
      <c r="B91" s="21" t="str">
        <f>VLOOKUP(A91,Questions!$B$3:$C$256,2,FALSE)</f>
        <v>Do you subject your code to static code analysis and/or static application security testing prior to release?</v>
      </c>
      <c r="C91" s="8" t="s">
        <v>102</v>
      </c>
      <c r="D91" s="9" t="s">
        <v>208</v>
      </c>
      <c r="E91" s="147" t="str">
        <f>IF((C91=""),VLOOKUP(A91,Questions!B:G,4,FALSE),IF(C91="Yes",VLOOKUP(A91,Questions!B:G,6,FALSE),IF(C91="No",VLOOKUP(A91,Questions!B:G,5,FALSE),"N/A")))</f>
        <v>Provide a list of all tools utilized during static code analysis or static application security testing.</v>
      </c>
      <c r="F91" s="151" t="str">
        <f>VLOOKUP(A91,'Analyst Report'!$A$39:$E$288,5,FALSE)</f>
        <v xml:space="preserve"> </v>
      </c>
    </row>
    <row r="92" spans="1:7" ht="40.5" customHeight="1">
      <c r="A92" s="10" t="s">
        <v>209</v>
      </c>
      <c r="B92" s="21" t="str">
        <f>VLOOKUP(A92,Questions!$B$3:$C$256,2,FALSE)</f>
        <v>Do you have software testing processes (dynamic or static) that are established and followed?</v>
      </c>
      <c r="C92" s="8" t="s">
        <v>102</v>
      </c>
      <c r="D92" s="9" t="s">
        <v>208</v>
      </c>
      <c r="E92" s="147"/>
      <c r="F92" s="151" t="str">
        <f>VLOOKUP(A92,'Analyst Report'!$A$39:$E$288,5,FALSE)</f>
        <v xml:space="preserve"> </v>
      </c>
      <c r="G92" s="239" t="s">
        <v>91</v>
      </c>
    </row>
    <row r="93" spans="1:7" ht="36" customHeight="1">
      <c r="A93" s="283" t="s">
        <v>210</v>
      </c>
      <c r="B93" s="283"/>
      <c r="C93" s="18" t="s">
        <v>94</v>
      </c>
      <c r="D93" s="18" t="s">
        <v>95</v>
      </c>
      <c r="E93" s="146" t="s">
        <v>96</v>
      </c>
      <c r="F93" s="150" t="s">
        <v>97</v>
      </c>
    </row>
    <row r="94" spans="1:7" ht="84" customHeight="1">
      <c r="A94" s="10" t="s">
        <v>211</v>
      </c>
      <c r="B94" s="21" t="str">
        <f>VLOOKUP(A94,Questions!$B$3:$C$256,2,FALSE)</f>
        <v>Does your solution support single sign-on (SSO) protocols for user and administrator authentication?</v>
      </c>
      <c r="C94" s="8" t="s">
        <v>212</v>
      </c>
      <c r="D94" s="260" t="s">
        <v>213</v>
      </c>
      <c r="E94" s="147" t="str">
        <f>IF((C94=""),VLOOKUP(A94,Questions!B:G,4,FALSE),IF(C94="1) Yes",VLOOKUP(A94,Questions!B:G,6,FALSE),IF(C94="2) No",VLOOKUP(A94,Questions!B:G,5,FALSE),"N/A")))</f>
        <v>Describe how strong authentication is enforced (e.g., complex passwords, multifactor tokens, certificates, biometrics, aging requirements, re-use policy).</v>
      </c>
      <c r="F94" s="151" t="str">
        <f>VLOOKUP(A94,'Analyst Report'!$A$39:$E$288,5,FALSE)</f>
        <v xml:space="preserve"> </v>
      </c>
    </row>
    <row r="95" spans="1:7" ht="48" customHeight="1">
      <c r="A95" s="10" t="s">
        <v>214</v>
      </c>
      <c r="B95" s="21" t="str">
        <f>VLOOKUP(A95,Questions!$B$3:$C$256,2,FALSE)</f>
        <v>Does your solution support local authentication protocols for user and administrator authentication?</v>
      </c>
      <c r="C95" s="8" t="s">
        <v>215</v>
      </c>
      <c r="D95" s="9" t="s">
        <v>216</v>
      </c>
      <c r="E95" s="147" t="str">
        <f>IF((C95=""),VLOOKUP(A95,Questions!B:G,4,FALSE),IF(C95="1) Yes",VLOOKUP(A95,Questions!B:G,6,FALSE),IF(C95="2) No",VLOOKUP(A95,Questions!B:G,5,FALSE),"Answer relevant questions below")))</f>
        <v>Answer relevant questions below</v>
      </c>
      <c r="F95" s="151" t="str">
        <f>VLOOKUP(A95,'Analyst Report'!$A$39:$E$288,5,FALSE)</f>
        <v xml:space="preserve"> </v>
      </c>
    </row>
    <row r="96" spans="1:7" ht="48" customHeight="1">
      <c r="A96" s="10" t="s">
        <v>217</v>
      </c>
      <c r="B96" s="21" t="str">
        <f>VLOOKUP(A96,Questions!$B$3:$C$256,2,FALSE)</f>
        <v>Can you enforce password/passphrase aging requirements?</v>
      </c>
      <c r="C96" s="8" t="s">
        <v>102</v>
      </c>
      <c r="D96" s="209" t="s">
        <v>218</v>
      </c>
      <c r="E96" s="147" t="str">
        <f>IF((C96=""),VLOOKUP(A96,Questions!B:G,4,FALSE),IF(C96="Yes",VLOOKUP(A96,Questions!B:G,6,FALSE),IF(C96="No",VLOOKUP(A96,Questions!B:G,5,FALSE),"N/A")))</f>
        <v>Describe how aging requirements are implemented in the product.</v>
      </c>
      <c r="F96" s="151" t="str">
        <f>VLOOKUP(A96,'Analyst Report'!$A$39:$E$288,5,FALSE)</f>
        <v xml:space="preserve"> </v>
      </c>
    </row>
    <row r="97" spans="1:7" ht="65.25" customHeight="1">
      <c r="A97" s="10" t="s">
        <v>219</v>
      </c>
      <c r="B97" s="21" t="str">
        <f>VLOOKUP(A97,Questions!$B$3:$C$256,2,FALSE)</f>
        <v>Can you enforce password/passphrase complexity requirements (provided by the institution)?</v>
      </c>
      <c r="C97" s="8" t="s">
        <v>100</v>
      </c>
      <c r="D97" s="209" t="s">
        <v>220</v>
      </c>
      <c r="E97" s="147" t="str">
        <f>IF((C97=""),VLOOKUP(A97,Questions!B:G,4,FALSE),IF(C97="Yes",VLOOKUP(A97,Questions!B:G,6,FALSE),IF(C97="No",VLOOKUP(A97,Questions!B:G,5,FALSE),"N/A")))</f>
        <v>Describe plans to support password/passphrase complexity requirements.</v>
      </c>
      <c r="F97" s="151" t="str">
        <f>VLOOKUP(A97,'Analyst Report'!$A$39:$E$288,5,FALSE)</f>
        <v xml:space="preserve"> </v>
      </c>
    </row>
    <row r="98" spans="1:7" ht="47.25" customHeight="1">
      <c r="A98" s="10" t="s">
        <v>221</v>
      </c>
      <c r="B98" s="21" t="str">
        <f>VLOOKUP(A98,Questions!$B$3:$C$256,2,FALSE)</f>
        <v>Does the system have password complexity or length limitations and/or restrictions?</v>
      </c>
      <c r="C98" s="8" t="s">
        <v>102</v>
      </c>
      <c r="D98" s="262" t="s">
        <v>222</v>
      </c>
      <c r="E98" s="147" t="str">
        <f>IF((C98=""),VLOOKUP(A98,Questions!B:G,4,FALSE),IF(C98="Yes",VLOOKUP(A98,Questions!B:G,6,FALSE),IF(C98="No",VLOOKUP(A98,Questions!B:G,5,FALSE),"N/A")))</f>
        <v>Describe these limitations and/or restrictions and state what lengths and complexities are supported.</v>
      </c>
      <c r="F98" s="151" t="str">
        <f>VLOOKUP(A98,'Analyst Report'!$A$39:$E$288,5,FALSE)</f>
        <v xml:space="preserve"> </v>
      </c>
    </row>
    <row r="99" spans="1:7" ht="55.5" customHeight="1">
      <c r="A99" s="10" t="s">
        <v>223</v>
      </c>
      <c r="B99" s="21" t="str">
        <f>VLOOKUP(A99,Questions!$B$3:$C$256,2,FALSE)</f>
        <v>Do you have documented password/passphrase reset procedures that are currently implemented in the system and/or customer support?</v>
      </c>
      <c r="C99" s="8" t="s">
        <v>102</v>
      </c>
      <c r="D99" s="9" t="s">
        <v>224</v>
      </c>
      <c r="E99" s="147" t="str">
        <f>IF((C99=""),VLOOKUP(A99,Questions!B:G,4,FALSE),IF(C99="Yes",VLOOKUP(A99,Questions!B:G,6,FALSE),IF(C99="No",VLOOKUP(A99,Questions!B:G,5,FALSE),"N/A")))</f>
        <v>Describe your documented password/passphrase reset procedures that are currently implemented in the system and/or customer support.</v>
      </c>
      <c r="F99" s="151" t="str">
        <f>VLOOKUP(A99,'Analyst Report'!$A$39:$E$288,5,FALSE)</f>
        <v xml:space="preserve"> </v>
      </c>
    </row>
    <row r="100" spans="1:7" ht="48" customHeight="1">
      <c r="A100" s="10" t="s">
        <v>225</v>
      </c>
      <c r="B100" s="21" t="str">
        <f>VLOOKUP(A100,Questions!$B$3:$C$256,2,FALSE)</f>
        <v>Does your organization participate in InCommon or another eduGAIN-affiliated trust federation?</v>
      </c>
      <c r="C100" s="8" t="s">
        <v>100</v>
      </c>
      <c r="D100" s="9" t="s">
        <v>198</v>
      </c>
      <c r="E100" s="147" t="str">
        <f>IF((C100=""),VLOOKUP(A100,Questions!B:G,4,FALSE),IF(C100="Yes",VLOOKUP(A100,Questions!B:G,6,FALSE),IF(C100="No",VLOOKUP(A100,Questions!B:G,5,FALSE),"N/A")))</f>
        <v>Describe plans to participate in InCommon or another eduGAIN-affiliated trust federation.</v>
      </c>
      <c r="F100" s="151" t="str">
        <f>VLOOKUP(A100,'Analyst Report'!$A$39:$E$288,5,FALSE)</f>
        <v xml:space="preserve"> </v>
      </c>
    </row>
    <row r="101" spans="1:7" ht="66.75" customHeight="1">
      <c r="A101" s="10" t="s">
        <v>226</v>
      </c>
      <c r="B101" s="21" t="str">
        <f>VLOOKUP(A101,Questions!$B$3:$C$256,2,FALSE)</f>
        <v>Does your application support integration with other authentication and authorization systems?</v>
      </c>
      <c r="C101" s="8" t="s">
        <v>102</v>
      </c>
      <c r="D101" s="9" t="s">
        <v>227</v>
      </c>
      <c r="E101" s="147" t="str">
        <f>IF((C101=""),VLOOKUP(A101,Questions!B:G,4,FALSE),IF(C101="Yes",VLOOKUP(A101,Questions!B:G,6,FALSE),IF(C101="No",VLOOKUP(A101,Questions!B:G,5,FALSE),"N/A")))</f>
        <v>List which systems and versions supported (such as Active Directory, Kerberos, or other LDAP compatible directory) in Additional Info.</v>
      </c>
      <c r="F101" s="151" t="str">
        <f>VLOOKUP(A101,'Analyst Report'!$A$39:$E$288,5,FALSE)</f>
        <v xml:space="preserve"> </v>
      </c>
    </row>
    <row r="102" spans="1:7" ht="75" customHeight="1">
      <c r="A102" s="10" t="s">
        <v>228</v>
      </c>
      <c r="B102" s="21" t="str">
        <f>VLOOKUP(A102,Questions!$B$3:$C$256,2,FALSE)</f>
        <v>Does your solution support any of the following web SSO standards? [e.g., SAML2 (with redirect flow), OIDC, CAS, or other]</v>
      </c>
      <c r="C102" s="8" t="s">
        <v>102</v>
      </c>
      <c r="D102" s="9" t="s">
        <v>229</v>
      </c>
      <c r="E102" s="147" t="str">
        <f>IF((C102=""),VLOOKUP(A102,Questions!B:G,4,FALSE),IF(C102="Yes",VLOOKUP(A102,Questions!B:G,6,FALSE),IF(C102="No",VLOOKUP(A102,Questions!B:G,5,FALSE),"N/A")))</f>
        <v>State the web SSO standards supported by your solution and provide additional details about your support, including framework(s) in use, how information is exchanged securely, etc.</v>
      </c>
      <c r="F102" s="151" t="str">
        <f>VLOOKUP(A102,'Analyst Report'!$A$39:$E$288,5,FALSE)</f>
        <v xml:space="preserve"> </v>
      </c>
    </row>
    <row r="103" spans="1:7" ht="53.25" customHeight="1">
      <c r="A103" s="10" t="s">
        <v>230</v>
      </c>
      <c r="B103" s="21" t="str">
        <f>VLOOKUP(A103,Questions!$B$3:$C$256,2,FALSE)</f>
        <v>Do you support differentiation between email address and user identifier?</v>
      </c>
      <c r="C103" s="8" t="s">
        <v>102</v>
      </c>
      <c r="D103" s="9" t="s">
        <v>231</v>
      </c>
      <c r="E103" s="147" t="str">
        <f>IF((C103=""),VLOOKUP(A103,Questions!B:G,4,FALSE),IF(C103="Yes",VLOOKUP(A103,Questions!B:G,6,FALSE),IF(C103="No",VLOOKUP(A103,Questions!B:G,5,FALSE),"N/A")))</f>
        <v xml:space="preserve"> </v>
      </c>
      <c r="F103" s="151" t="str">
        <f>VLOOKUP(A103,'Analyst Report'!$A$39:$E$288,5,FALSE)</f>
        <v xml:space="preserve"> </v>
      </c>
    </row>
    <row r="104" spans="1:7" ht="47.25" customHeight="1">
      <c r="A104" s="10" t="s">
        <v>232</v>
      </c>
      <c r="B104" s="21" t="str">
        <f>VLOOKUP(A104,Questions!$B$3:$C$256,2,FALSE)</f>
        <v>Do you allow the customer to specify attribute mappings for any needed information beyond a user identifier? (e.g., Reference eduPerson, ePPA/ePPN/ePE)</v>
      </c>
      <c r="C104" s="74" t="s">
        <v>102</v>
      </c>
      <c r="D104" s="9"/>
      <c r="E104" s="147" t="str">
        <f>IF((C104=""),VLOOKUP(A104,Questions!B:G,4,FALSE),IF(C104="Yes",VLOOKUP(A104,Questions!B:G,6,FALSE),IF(C104="No",VLOOKUP(A104,Questions!B:G,5,FALSE),"N/A")))</f>
        <v xml:space="preserve"> </v>
      </c>
      <c r="F104" s="151" t="str">
        <f>VLOOKUP(A104,'Analyst Report'!$A$39:$E$288,5,FALSE)</f>
        <v xml:space="preserve"> </v>
      </c>
    </row>
    <row r="105" spans="1:7" ht="54" customHeight="1">
      <c r="A105" s="10" t="s">
        <v>233</v>
      </c>
      <c r="B105" s="21" t="str">
        <f>VLOOKUP(A105,Questions!$B$3:$C$256,2,FALSE)</f>
        <v>If you don't support SSO, does your application and/or user-frontend/portal support multi-factor authentication? (e.g., Duo, Google Authenticator, OTP, etc.)</v>
      </c>
      <c r="C105" s="8"/>
      <c r="D105" s="9"/>
      <c r="E105" s="147" t="str">
        <f>IF((C105=""),VLOOKUP(A105,Questions!B:G,4,FALSE),IF(C105="Yes",VLOOKUP(A105,Questions!B:G,6,FALSE),IF(C105="No",VLOOKUP(A105,Questions!B:G,5,FALSE),"N/A")))</f>
        <v xml:space="preserve"> </v>
      </c>
      <c r="F105" s="151" t="str">
        <f>VLOOKUP(A105,'Analyst Report'!$A$39:$E$288,5,FALSE)</f>
        <v xml:space="preserve"> </v>
      </c>
    </row>
    <row r="106" spans="1:7" ht="54" customHeight="1">
      <c r="A106" s="10" t="s">
        <v>234</v>
      </c>
      <c r="B106" s="21" t="str">
        <f>VLOOKUP(A106,Questions!$B$3:$C$256,2,FALSE)</f>
        <v>Does your application automatically lock the session or log-out an account after a period of inactivity?</v>
      </c>
      <c r="C106" s="74" t="s">
        <v>102</v>
      </c>
      <c r="D106" s="9" t="s">
        <v>235</v>
      </c>
      <c r="E106" s="147" t="str">
        <f>IF((C106=""),VLOOKUP(A106,Questions!B:G,4,FALSE),IF(C106="Yes",VLOOKUP(A106,Questions!B:G,6,FALSE),IF(C106="No",VLOOKUP(A106,Questions!B:G,5,FALSE),"N/A")))</f>
        <v>Describe the default behavior of this capability.</v>
      </c>
      <c r="F106" s="151" t="str">
        <f>VLOOKUP(A106,'Analyst Report'!$A$39:$E$288,5,FALSE)</f>
        <v xml:space="preserve"> </v>
      </c>
    </row>
    <row r="107" spans="1:7" ht="47.25" customHeight="1">
      <c r="A107" s="10" t="s">
        <v>236</v>
      </c>
      <c r="B107" s="21" t="str">
        <f>VLOOKUP(A107,Questions!$B$3:$C$256,2,FALSE)</f>
        <v>Are there any passwords/passphrases hard-coded into your systems or products?</v>
      </c>
      <c r="C107" s="74" t="s">
        <v>100</v>
      </c>
      <c r="D107" s="9"/>
      <c r="E107" s="147" t="str">
        <f>IF((C107=""),VLOOKUP(A107,Questions!B:G,4,FALSE),IF(C107="Yes",VLOOKUP(A107,Questions!B:G,6,FALSE),IF(C107="No",VLOOKUP(A107,Questions!B:G,5,FALSE),"N/A")))</f>
        <v xml:space="preserve"> </v>
      </c>
      <c r="F107" s="151" t="str">
        <f>VLOOKUP(A107,'Analyst Report'!$A$39:$E$288,5,FALSE)</f>
        <v xml:space="preserve"> </v>
      </c>
    </row>
    <row r="108" spans="1:7" ht="36" customHeight="1">
      <c r="A108" s="10" t="s">
        <v>237</v>
      </c>
      <c r="B108" s="21" t="str">
        <f>VLOOKUP(A108,Questions!$B$3:$C$256,2,FALSE)</f>
        <v>Are you storing any passwords in plaintext?</v>
      </c>
      <c r="C108" s="74" t="s">
        <v>100</v>
      </c>
      <c r="D108" s="9"/>
      <c r="E108" s="147" t="str">
        <f>IF((C108=""),VLOOKUP(A108,Questions!B:G,4,FALSE),IF(C108="Yes",VLOOKUP(A108,Questions!B:G,6,FALSE),IF(C108="No",VLOOKUP(A108,Questions!B:G,5,FALSE),"N/A")))</f>
        <v xml:space="preserve"> </v>
      </c>
      <c r="F108" s="151" t="str">
        <f>VLOOKUP(A108,'Analyst Report'!$A$39:$E$288,5,FALSE)</f>
        <v xml:space="preserve"> </v>
      </c>
    </row>
    <row r="109" spans="1:7" ht="38.25" customHeight="1">
      <c r="A109" s="10" t="s">
        <v>238</v>
      </c>
      <c r="B109" s="21" t="str">
        <f>VLOOKUP(A109,Questions!$B$3:$C$256,2,FALSE)</f>
        <v>Does your application support directory integration for user accounts?</v>
      </c>
      <c r="C109" s="74" t="s">
        <v>102</v>
      </c>
      <c r="D109" s="9" t="s">
        <v>239</v>
      </c>
      <c r="E109" s="147" t="str">
        <f>IF((C109=""),VLOOKUP(A109,Questions!B:G,4,FALSE),IF(C109="Yes",VLOOKUP(A109,Questions!B:G,6,FALSE),IF(C109="No",VLOOKUP(A109,Questions!B:G,5,FALSE),"N/A")))</f>
        <v>Describe all authentication services supported by the system.</v>
      </c>
      <c r="F109" s="151" t="str">
        <f>VLOOKUP(A109,'Analyst Report'!$A$39:$E$288,5,FALSE)</f>
        <v xml:space="preserve"> </v>
      </c>
    </row>
    <row r="110" spans="1:7" ht="48" customHeight="1">
      <c r="A110" s="10" t="s">
        <v>240</v>
      </c>
      <c r="B110" s="21" t="str">
        <f>VLOOKUP(A110,Questions!$B$3:$C$256,2,FALSE)</f>
        <v>Are audit logs available that include AT LEAST all of the following: login, logout, actions performed, and source IP address?</v>
      </c>
      <c r="C110" s="8" t="s">
        <v>102</v>
      </c>
      <c r="D110" s="9"/>
      <c r="E110" s="147" t="str">
        <f>IF((C110=""),VLOOKUP(A110,Questions!B:G,4,FALSE),IF(C110="Yes",VLOOKUP(A110,Questions!B:G,6,FALSE),IF(C110="No",VLOOKUP(A110,Questions!B:G,5,FALSE),"N/A")))</f>
        <v xml:space="preserve"> </v>
      </c>
      <c r="F110" s="151" t="str">
        <f>VLOOKUP(A110,'Analyst Report'!$A$39:$E$288,5,FALSE)</f>
        <v xml:space="preserve"> </v>
      </c>
    </row>
    <row r="111" spans="1:7" ht="96" customHeight="1">
      <c r="A111" s="10" t="s">
        <v>241</v>
      </c>
      <c r="B111" s="21" t="str">
        <f>VLOOKUP(A111,Questions!$B$3:$C$256,2,FALSE)</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11" s="312" t="s">
        <v>242</v>
      </c>
      <c r="D111" s="312"/>
      <c r="E111" s="147" t="str">
        <f>IF((C111=""),VLOOKUP(A111,Questions!B:G,4,FALSE),IF(C111="Yes",VLOOKUP(A111,Questions!B:G,6,FALSE),IF(C111="No",VLOOKUP(A111,Questions!B:G,5,FALSE),"N/A")))</f>
        <v>N/A</v>
      </c>
      <c r="F111" s="151" t="str">
        <f>VLOOKUP(A111,'Analyst Report'!$A$39:$E$288,5,FALSE)</f>
        <v xml:space="preserve"> </v>
      </c>
    </row>
    <row r="112" spans="1:7" ht="96" customHeight="1">
      <c r="A112" s="10" t="s">
        <v>243</v>
      </c>
      <c r="B112" s="21" t="str">
        <f>VLOOKUP(A112,Questions!$B$3:$C$256,2,FALSE)</f>
        <v>Describe or provide a reference to the retention period for those logs, how logs are protected, and whether they are accessible to the customer (and if so, how).</v>
      </c>
      <c r="C112" s="312" t="s">
        <v>244</v>
      </c>
      <c r="D112" s="312"/>
      <c r="E112" s="147" t="str">
        <f>IF((C112=""),VLOOKUP(A112,Questions!B:G,4,FALSE),IF(C112="Yes",VLOOKUP(A112,Questions!B:G,6,FALSE),IF(C112="No",VLOOKUP(A112,Questions!B:G,5,FALSE),"N/A")))</f>
        <v>N/A</v>
      </c>
      <c r="F112" s="151" t="str">
        <f>VLOOKUP(A112,'Analyst Report'!$A$39:$E$288,5,FALSE)</f>
        <v xml:space="preserve"> </v>
      </c>
      <c r="G112" s="239" t="s">
        <v>91</v>
      </c>
    </row>
    <row r="113" spans="1:7" ht="36" customHeight="1">
      <c r="A113" s="283" t="str">
        <f>IF(OR($C$29="No",$C$29="Yes"),"BCP - Respond to as many questions below as possible.","Business Continuity Plan")</f>
        <v>BCP - Respond to as many questions below as possible.</v>
      </c>
      <c r="B113" s="283"/>
      <c r="C113" s="18" t="s">
        <v>94</v>
      </c>
      <c r="D113" s="18" t="s">
        <v>95</v>
      </c>
      <c r="E113" s="146" t="s">
        <v>96</v>
      </c>
      <c r="F113" s="150" t="s">
        <v>97</v>
      </c>
    </row>
    <row r="114" spans="1:7" ht="48" customHeight="1">
      <c r="A114" s="10" t="s">
        <v>245</v>
      </c>
      <c r="B114" s="21" t="str">
        <f>VLOOKUP(A114,Questions!$B$3:$C$256,2,FALSE)</f>
        <v>Is an owner assigned who is responsible for the maintenance and review of the Business Continuity Plan?</v>
      </c>
      <c r="C114" s="8" t="s">
        <v>102</v>
      </c>
      <c r="D114" s="9" t="s">
        <v>246</v>
      </c>
      <c r="E114" s="147" t="str">
        <f>IF((C114=""),VLOOKUP(A114,Questions!B:G,4,FALSE),IF(C114="Yes",VLOOKUP(A114,Questions!B:G,6,FALSE),IF(C114="No",VLOOKUP(A114,Questions!B:G,5,FALSE),"N/A")))</f>
        <v>Provide additional details, as needed.</v>
      </c>
      <c r="F114" s="151" t="str">
        <f>VLOOKUP(A114,'Analyst Report'!$A$39:$E$288,5,FALSE)</f>
        <v xml:space="preserve"> </v>
      </c>
    </row>
    <row r="115" spans="1:7" ht="47.25" customHeight="1">
      <c r="A115" s="10" t="s">
        <v>247</v>
      </c>
      <c r="B115" s="21" t="str">
        <f>VLOOKUP(A115,Questions!$B$3:$C$256,2,FALSE)</f>
        <v>Is there a defined problem/issue escalation plan in your BCP for impacted clients?</v>
      </c>
      <c r="C115" s="8" t="s">
        <v>102</v>
      </c>
      <c r="D115" s="9" t="s">
        <v>248</v>
      </c>
      <c r="E115" s="147" t="str">
        <f>IF((C115=""),VLOOKUP(A115,Questions!B:G,4,FALSE),IF(C115="Yes",VLOOKUP(A115,Questions!B:G,6,FALSE),IF(C115="No",VLOOKUP(A115,Questions!B:G,5,FALSE),"N/A")))</f>
        <v>Summarize your defined problem/issue escalation plan contained in your BCP.</v>
      </c>
      <c r="F115" s="151" t="str">
        <f>VLOOKUP(A115,'Analyst Report'!$A$39:$E$288,5,FALSE)</f>
        <v xml:space="preserve"> </v>
      </c>
    </row>
    <row r="116" spans="1:7" ht="47.25" customHeight="1">
      <c r="A116" s="10" t="s">
        <v>249</v>
      </c>
      <c r="B116" s="21" t="str">
        <f>VLOOKUP(A116,Questions!$B$3:$C$256,2,FALSE)</f>
        <v>Is there a documented communication plan in your BCP for impacted clients?</v>
      </c>
      <c r="C116" s="8" t="s">
        <v>102</v>
      </c>
      <c r="D116" s="9" t="s">
        <v>250</v>
      </c>
      <c r="E116" s="147" t="str">
        <f>IF((C116=""),VLOOKUP(A116,Questions!B:G,4,FALSE),IF(C116="Yes",VLOOKUP(A116,Questions!B:G,6,FALSE),IF(C116="No",VLOOKUP(A116,Questions!B:G,5,FALSE),"N/A")))</f>
        <v>Summarize your documented communication plan contained in your BCP.</v>
      </c>
      <c r="F116" s="151" t="str">
        <f>VLOOKUP(A116,'Analyst Report'!$A$39:$E$288,5,FALSE)</f>
        <v xml:space="preserve"> </v>
      </c>
    </row>
    <row r="117" spans="1:7" ht="47.25" customHeight="1">
      <c r="A117" s="10" t="s">
        <v>251</v>
      </c>
      <c r="B117" s="21" t="str">
        <f>VLOOKUP(A117,Questions!$B$3:$C$256,2,FALSE)</f>
        <v>Are all components of the BCP reviewed at least annually and updated as needed to reflect change?</v>
      </c>
      <c r="C117" s="8" t="s">
        <v>102</v>
      </c>
      <c r="D117" s="9" t="s">
        <v>252</v>
      </c>
      <c r="E117" s="147" t="str">
        <f>IF((C117=""),VLOOKUP(A117,Questions!B:G,4,FALSE),IF(C117="Yes",VLOOKUP(A117,Questions!B:G,6,FALSE),IF(C117="No",VLOOKUP(A117,Questions!B:G,5,FALSE),"N/A")))</f>
        <v>Describe your BCP component review strategy.</v>
      </c>
      <c r="F117" s="151" t="str">
        <f>VLOOKUP(A117,'Analyst Report'!$A$39:$E$288,5,FALSE)</f>
        <v xml:space="preserve"> </v>
      </c>
    </row>
    <row r="118" spans="1:7" ht="47.25" customHeight="1">
      <c r="A118" s="10" t="s">
        <v>253</v>
      </c>
      <c r="B118" s="21" t="str">
        <f>VLOOKUP(A118,Questions!$B$3:$C$256,2,FALSE)</f>
        <v>Are specific crisis management roles and responsibilities defined and documented?</v>
      </c>
      <c r="C118" s="8" t="s">
        <v>102</v>
      </c>
      <c r="D118" s="9" t="s">
        <v>254</v>
      </c>
      <c r="E118" s="147" t="str">
        <f>IF((C118=""),VLOOKUP(A118,Questions!B:G,4,FALSE),IF(C118="Yes",VLOOKUP(A118,Questions!B:G,6,FALSE),IF(C118="No",VLOOKUP(A118,Questions!B:G,5,FALSE),"N/A")))</f>
        <v>Summarize these crisis management roles and responsibilities.</v>
      </c>
      <c r="F118" s="151" t="str">
        <f>VLOOKUP(A118,'Analyst Report'!$A$39:$E$288,5,FALSE)</f>
        <v xml:space="preserve"> </v>
      </c>
    </row>
    <row r="119" spans="1:7" ht="48" customHeight="1">
      <c r="A119" s="10" t="s">
        <v>255</v>
      </c>
      <c r="B119" s="21" t="str">
        <f>VLOOKUP(A119,Questions!$B$3:$C$256,2,FALSE)</f>
        <v>Does your organization conduct training and awareness activities to validate its employees' understanding of their roles and responsibilities during a crisis?</v>
      </c>
      <c r="C119" s="8" t="s">
        <v>102</v>
      </c>
      <c r="D119" s="9" t="s">
        <v>256</v>
      </c>
      <c r="E119" s="147" t="str">
        <f>IF((C119=""),VLOOKUP(A119,Questions!B:G,4,FALSE),IF(C119="Yes",VLOOKUP(A119,Questions!B:G,6,FALSE),IF(C119="No",VLOOKUP(A119,Questions!B:G,5,FALSE),"N/A")))</f>
        <v>Describe your training and awareness activities.</v>
      </c>
      <c r="F119" s="151" t="str">
        <f>VLOOKUP(A119,'Analyst Report'!$A$39:$E$288,5,FALSE)</f>
        <v xml:space="preserve"> </v>
      </c>
    </row>
    <row r="120" spans="1:7" ht="48" customHeight="1">
      <c r="A120" s="10" t="s">
        <v>257</v>
      </c>
      <c r="B120" s="21" t="str">
        <f>VLOOKUP(A120,Questions!$B$3:$C$256,2,FALSE)</f>
        <v>Does your organization have an alternative business site or a contracted Business Recovery provider?</v>
      </c>
      <c r="C120" s="8" t="s">
        <v>102</v>
      </c>
      <c r="D120" s="9" t="s">
        <v>258</v>
      </c>
      <c r="E120" s="147" t="str">
        <f>IF((C120=""),VLOOKUP(A120,Questions!B:G,4,FALSE),IF(C120="Yes",VLOOKUP(A120,Questions!B:G,6,FALSE),IF(C120="No",VLOOKUP(A120,Questions!B:G,5,FALSE),"N/A")))</f>
        <v>Provide the distance (in miles) between the primary and secondary locations.</v>
      </c>
      <c r="F120" s="151" t="str">
        <f>VLOOKUP(A120,'Analyst Report'!$A$39:$E$288,5,FALSE)</f>
        <v xml:space="preserve"> </v>
      </c>
    </row>
    <row r="121" spans="1:7" ht="47.25" customHeight="1">
      <c r="A121" s="10" t="s">
        <v>259</v>
      </c>
      <c r="B121" s="21" t="str">
        <f>VLOOKUP(A121,Questions!$B$3:$C$256,2,FALSE)</f>
        <v>Does your organization conduct an annual test of relocating to an alternate site for business recovery purposes?</v>
      </c>
      <c r="C121" s="8" t="s">
        <v>102</v>
      </c>
      <c r="D121" s="9" t="s">
        <v>260</v>
      </c>
      <c r="E121" s="147" t="str">
        <f>IF((C121=""),VLOOKUP(A121,Questions!B:G,4,FALSE),IF(C121="Yes",VLOOKUP(A121,Questions!B:G,6,FALSE),IF(C121="No",VLOOKUP(A121,Questions!B:G,5,FALSE),"N/A")))</f>
        <v>State the date of your last alternate site relocation test.</v>
      </c>
      <c r="F121" s="151" t="str">
        <f>VLOOKUP(A121,'Analyst Report'!$A$39:$E$288,5,FALSE)</f>
        <v xml:space="preserve"> </v>
      </c>
    </row>
    <row r="122" spans="1:7" ht="47.25" customHeight="1">
      <c r="A122" s="10" t="s">
        <v>261</v>
      </c>
      <c r="B122" s="21" t="str">
        <f>VLOOKUP(A122,Questions!$B$3:$C$256,2,FALSE)</f>
        <v>Is this product a core service of your organization and, as such, the top priority during business continuity planning?</v>
      </c>
      <c r="C122" s="8" t="s">
        <v>102</v>
      </c>
      <c r="D122" s="9" t="s">
        <v>262</v>
      </c>
      <c r="E122" s="147" t="str">
        <f>IF((C122=""),VLOOKUP(A122,Questions!B:G,4,FALSE),IF(C122="Yes",VLOOKUP(A122,Questions!B:G,6,FALSE),IF(C122="No",VLOOKUP(A122,Questions!B:G,5,FALSE),"N/A")))</f>
        <v>Provide a brief summary to support your selection.</v>
      </c>
      <c r="F122" s="151" t="str">
        <f>VLOOKUP(A122,'Analyst Report'!$A$39:$E$288,5,FALSE)</f>
        <v xml:space="preserve"> </v>
      </c>
    </row>
    <row r="123" spans="1:7" ht="47.25" customHeight="1">
      <c r="A123" s="10" t="s">
        <v>263</v>
      </c>
      <c r="B123" s="21" t="str">
        <f>VLOOKUP(A123,Questions!$B$3:$C$256,2,FALSE)</f>
        <v>Are all services that support your product fully redundant?</v>
      </c>
      <c r="C123" s="8" t="s">
        <v>102</v>
      </c>
      <c r="D123" s="9" t="s">
        <v>264</v>
      </c>
      <c r="E123" s="147" t="str">
        <f>IF((C123=""),VLOOKUP(A123,Questions!B:G,4,FALSE),IF(C123="Yes",VLOOKUP(A123,Questions!B:G,6,FALSE),IF(C123="No",VLOOKUP(A123,Questions!B:G,5,FALSE),"N/A")))</f>
        <v>Describe or provide references explaining how tertiary services are redundant (i.e., DNS, ISP, etc.).</v>
      </c>
      <c r="F123" s="151" t="str">
        <f>VLOOKUP(A123,'Analyst Report'!$A$39:$E$288,5,FALSE)</f>
        <v xml:space="preserve"> </v>
      </c>
      <c r="G123" s="239" t="s">
        <v>91</v>
      </c>
    </row>
    <row r="124" spans="1:7" ht="36" customHeight="1">
      <c r="A124" s="283" t="s">
        <v>265</v>
      </c>
      <c r="B124" s="283"/>
      <c r="C124" s="18" t="s">
        <v>94</v>
      </c>
      <c r="D124" s="18" t="s">
        <v>95</v>
      </c>
      <c r="E124" s="146" t="s">
        <v>96</v>
      </c>
      <c r="F124" s="150" t="s">
        <v>97</v>
      </c>
    </row>
    <row r="125" spans="1:7" ht="48" customHeight="1">
      <c r="A125" s="10" t="s">
        <v>266</v>
      </c>
      <c r="B125" s="21" t="str">
        <f>VLOOKUP(A125,Questions!$B$3:$C$256,2,FALSE)</f>
        <v>Does your Change Management process minimally include authorization, impact analysis, testing, and validation before moving changes to production?</v>
      </c>
      <c r="C125" s="8" t="s">
        <v>102</v>
      </c>
      <c r="D125" s="9" t="s">
        <v>267</v>
      </c>
      <c r="E125" s="147" t="str">
        <f>IF((C125=""),VLOOKUP(A125,Questions!B:G,4,FALSE),IF(C125="Yes",VLOOKUP(A125,Questions!B:G,6,FALSE),IF(C125="No",VLOOKUP(A125,Questions!B:G,5,FALSE),"N/A")))</f>
        <v>Indicate all procedures that are implemented in your CMP. (a) An impact analysis of the upgrade is performed. (b) The change is appropriately authorized. (c) Changes are made first in a test environment. (d) The ability to implement the upgrades/changes in the production environment is limited to appropriate IT personnel.</v>
      </c>
      <c r="F125" s="151" t="str">
        <f>VLOOKUP(A125,'Analyst Report'!$A$39:$E$288,5,FALSE)</f>
        <v xml:space="preserve"> </v>
      </c>
    </row>
    <row r="126" spans="1:7" ht="80.25" customHeight="1">
      <c r="A126" s="10" t="s">
        <v>268</v>
      </c>
      <c r="B126" s="21" t="str">
        <f>VLOOKUP(A126,Questions!$B$3:$C$256,2,FALSE)</f>
        <v>Does your Change Management process also verify that all required third-party libraries and dependencies are still supported with each major change?</v>
      </c>
      <c r="C126" s="8" t="s">
        <v>102</v>
      </c>
      <c r="D126" s="262" t="s">
        <v>269</v>
      </c>
      <c r="E126" s="147" t="str">
        <f>IF((C126=""),VLOOKUP(A126,Questions!B:G,4,FALSE),IF(C126="Yes",VLOOKUP(A126,Questions!B:G,6,FALSE),IF(C126="No",VLOOKUP(A126,Questions!B:G,5,FALSE),"N/A")))</f>
        <v>Please describe your program to track these dependancies.</v>
      </c>
      <c r="F126" s="151" t="str">
        <f>VLOOKUP(A126,'Analyst Report'!$A$39:$E$288,5,FALSE)</f>
        <v xml:space="preserve"> </v>
      </c>
    </row>
    <row r="127" spans="1:7" ht="64.5" customHeight="1">
      <c r="A127" s="10" t="s">
        <v>270</v>
      </c>
      <c r="B127" s="21" t="str">
        <f>VLOOKUP(A127,Questions!$B$3:$C$256,2,FALSE)</f>
        <v>Will the institution be notified of major changes to your environment that could impact the institution's security posture?</v>
      </c>
      <c r="C127" s="8" t="s">
        <v>102</v>
      </c>
      <c r="D127" s="262" t="s">
        <v>271</v>
      </c>
      <c r="E127" s="147" t="str">
        <f>IF((C127=""),VLOOKUP(A127,Questions!B:G,4,FALSE),IF(C127="Yes",VLOOKUP(A127,Questions!B:G,6,FALSE),IF(C127="No",VLOOKUP(A127,Questions!B:G,5,FALSE),"N/A")))</f>
        <v>State how and when the institution will be notified of major changes to your environment.</v>
      </c>
      <c r="F127" s="151" t="str">
        <f>VLOOKUP(A127,'Analyst Report'!$A$39:$E$288,5,FALSE)</f>
        <v xml:space="preserve"> </v>
      </c>
    </row>
    <row r="128" spans="1:7" ht="64.5" customHeight="1">
      <c r="A128" s="10" t="s">
        <v>272</v>
      </c>
      <c r="B128" s="21" t="str">
        <f>VLOOKUP(A128,Questions!$B$3:$C$256,2,FALSE)</f>
        <v>Do clients have the option to not participate in or postpone an upgrade to a new release?</v>
      </c>
      <c r="C128" s="8" t="s">
        <v>100</v>
      </c>
      <c r="D128" s="262" t="s">
        <v>273</v>
      </c>
      <c r="E128" s="147" t="str">
        <f>IF((C128=""),VLOOKUP(A128,Questions!B:G,4,FALSE),IF(C128="Yes",VLOOKUP(A128,Questions!B:G,6,FALSE),IF(C128="No",VLOOKUP(A128,Questions!B:G,5,FALSE),"N/A")))</f>
        <v>Summarize why clients do not have alternative release options.</v>
      </c>
      <c r="F128" s="151" t="str">
        <f>VLOOKUP(A128,'Analyst Report'!$A$39:$E$288,5,FALSE)</f>
        <v xml:space="preserve"> </v>
      </c>
    </row>
    <row r="129" spans="1:7" ht="64.5" customHeight="1">
      <c r="A129" s="10" t="s">
        <v>274</v>
      </c>
      <c r="B129" s="21" t="str">
        <f>VLOOKUP(A129,Questions!$B$3:$C$256,2,FALSE)</f>
        <v>Do you have a fully implemented solution support strategy that defines how many concurrent versions you support?</v>
      </c>
      <c r="C129" s="8" t="s">
        <v>102</v>
      </c>
      <c r="D129" s="262" t="s">
        <v>275</v>
      </c>
      <c r="E129" s="147" t="str">
        <f>IF((C129=""),VLOOKUP(A129,Questions!B:G,4,FALSE),IF(C129="Yes",VLOOKUP(A129,Questions!B:G,6,FALSE),IF(C129="No",VLOOKUP(A129,Questions!B:G,5,FALSE),"N/A")))</f>
        <v>Describe or provide a reference to your solution support strategy in regard to maintaining software currency (i.e., how many concurrent versions are you willing to run and support?).</v>
      </c>
      <c r="F129" s="151" t="str">
        <f>VLOOKUP(A129,'Analyst Report'!$A$39:$E$288,5,FALSE)</f>
        <v xml:space="preserve"> </v>
      </c>
    </row>
    <row r="130" spans="1:7" ht="64.5" customHeight="1">
      <c r="A130" s="10" t="s">
        <v>276</v>
      </c>
      <c r="B130" s="21" t="str">
        <f>VLOOKUP(A130,Questions!$B$3:$C$256,2,FALSE)</f>
        <v>Does the system support client customizations from one release to another?</v>
      </c>
      <c r="C130" s="8" t="s">
        <v>102</v>
      </c>
      <c r="D130" s="262" t="s">
        <v>277</v>
      </c>
      <c r="E130" s="147" t="str">
        <f>IF((C130=""),VLOOKUP(A130,Questions!B:G,4,FALSE),IF(C130="Yes",VLOOKUP(A130,Questions!B:G,6,FALSE),IF(C130="No",VLOOKUP(A130,Questions!B:G,5,FALSE),"N/A")))</f>
        <v>Describe or provide reference to your solution support strategy in regard to maintaining client customizations from one release to another.</v>
      </c>
      <c r="F130" s="151" t="str">
        <f>VLOOKUP(A130,'Analyst Report'!$A$39:$E$288,5,FALSE)</f>
        <v xml:space="preserve"> </v>
      </c>
    </row>
    <row r="131" spans="1:7" ht="64.5" customHeight="1">
      <c r="A131" s="10" t="s">
        <v>278</v>
      </c>
      <c r="B131" s="21" t="str">
        <f>VLOOKUP(A131,Questions!$B$3:$C$256,2,FALSE)</f>
        <v>Do you have a release schedule for product updates?</v>
      </c>
      <c r="C131" s="8" t="s">
        <v>102</v>
      </c>
      <c r="D131" s="262" t="s">
        <v>279</v>
      </c>
      <c r="E131" s="147" t="str">
        <f>IF((C131=""),VLOOKUP(A131,Questions!B:G,4,FALSE),IF(C131="Yes",VLOOKUP(A131,Questions!B:G,6,FALSE),IF(C131="No",VLOOKUP(A131,Questions!B:G,5,FALSE),"N/A")))</f>
        <v>Provide a reference to this product's release schedule.</v>
      </c>
      <c r="F131" s="151" t="str">
        <f>VLOOKUP(A131,'Analyst Report'!$A$39:$E$288,5,FALSE)</f>
        <v xml:space="preserve"> </v>
      </c>
    </row>
    <row r="132" spans="1:7" ht="64.5" customHeight="1">
      <c r="A132" s="10" t="s">
        <v>280</v>
      </c>
      <c r="B132" s="21" t="str">
        <f>VLOOKUP(A132,Questions!$B$3:$C$256,2,FALSE)</f>
        <v>Do you have a technology roadmap, for at least the next two years, for enhancements and bug fixes for the product/service being assessed?</v>
      </c>
      <c r="C132" s="8" t="s">
        <v>102</v>
      </c>
      <c r="D132" s="262" t="s">
        <v>281</v>
      </c>
      <c r="E132" s="147" t="str">
        <f>IF((C132=""),VLOOKUP(A132,Questions!B:G,4,FALSE),IF(C132="Yes",VLOOKUP(A132,Questions!B:G,6,FALSE),IF(C132="No",VLOOKUP(A132,Questions!B:G,5,FALSE),"N/A")))</f>
        <v>Provide a reference to your technology roadmap.</v>
      </c>
      <c r="F132" s="151" t="str">
        <f>VLOOKUP(A132,'Analyst Report'!$A$39:$E$288,5,FALSE)</f>
        <v xml:space="preserve"> </v>
      </c>
    </row>
    <row r="133" spans="1:7" ht="64.5" customHeight="1">
      <c r="A133" s="10" t="s">
        <v>282</v>
      </c>
      <c r="B133" s="21" t="str">
        <f>VLOOKUP(A133,Questions!$B$3:$C$256,2,FALSE)</f>
        <v>Is institutional involvement (i.e., technically or organizationally) required during product updates?</v>
      </c>
      <c r="C133" s="8" t="s">
        <v>100</v>
      </c>
      <c r="D133" s="262" t="s">
        <v>283</v>
      </c>
      <c r="E133" s="147" t="str">
        <f>IF((C133=""),VLOOKUP(A133,Questions!B:G,4,FALSE),IF(C133="Yes",VLOOKUP(A133,Questions!B:G,6,FALSE),IF(C133="No",VLOOKUP(A133,Questions!B:G,5,FALSE),"N/A")))</f>
        <v xml:space="preserve"> </v>
      </c>
      <c r="F133" s="151" t="str">
        <f>VLOOKUP(A133,'Analyst Report'!$A$39:$E$288,5,FALSE)</f>
        <v xml:space="preserve"> </v>
      </c>
    </row>
    <row r="134" spans="1:7" ht="64.5" customHeight="1">
      <c r="A134" s="10" t="s">
        <v>284</v>
      </c>
      <c r="B134" s="21" t="str">
        <f>VLOOKUP(A134,Questions!$B$3:$C$256,2,FALSE)</f>
        <v>Do you have policy and procedure, currently implemented, managing how critical patches are applied to all systems and applications?</v>
      </c>
      <c r="C134" s="8" t="s">
        <v>102</v>
      </c>
      <c r="D134" s="262" t="s">
        <v>285</v>
      </c>
      <c r="E134" s="147" t="str">
        <f>IF((C134=""),VLOOKUP(A134,Questions!B:G,4,FALSE),IF(C134="Yes",VLOOKUP(A134,Questions!B:G,6,FALSE),IF(C134="No",VLOOKUP(A134,Questions!B:G,5,FALSE),"N/A")))</f>
        <v>Summarize the policy and procedure(s) managing how critical patches are applied to systems and applications.</v>
      </c>
      <c r="F134" s="151" t="str">
        <f>VLOOKUP(A134,'Analyst Report'!$A$39:$E$288,5,FALSE)</f>
        <v xml:space="preserve"> </v>
      </c>
    </row>
    <row r="135" spans="1:7" ht="64.5" customHeight="1">
      <c r="A135" s="10" t="s">
        <v>286</v>
      </c>
      <c r="B135" s="21" t="str">
        <f>VLOOKUP(A135,Questions!$B$3:$C$256,2,FALSE)</f>
        <v>Do you have policy and procedure, currently implemented, guiding how security risks are mitigated until patches can be applied?</v>
      </c>
      <c r="C135" s="8" t="s">
        <v>102</v>
      </c>
      <c r="D135" s="262" t="s">
        <v>287</v>
      </c>
      <c r="E135" s="147" t="str">
        <f>IF((C135=""),VLOOKUP(A135,Questions!B:G,4,FALSE),IF(C135="Yes",VLOOKUP(A135,Questions!B:G,6,FALSE),IF(C135="No",VLOOKUP(A135,Questions!B:G,5,FALSE),"N/A")))</f>
        <v>Summarize the policy and procedure(s) guiding risk mitigation practices before critical patches can be applied.</v>
      </c>
      <c r="F135" s="151" t="str">
        <f>VLOOKUP(A135,'Analyst Report'!$A$39:$E$288,5,FALSE)</f>
        <v xml:space="preserve"> </v>
      </c>
    </row>
    <row r="136" spans="1:7" ht="64.5" customHeight="1">
      <c r="A136" s="10" t="s">
        <v>288</v>
      </c>
      <c r="B136" s="21" t="str">
        <f>VLOOKUP(A136,Questions!$B$3:$C$256,2,FALSE)</f>
        <v>Are upgrades or system changes installed during off-peak hours or in a manner that does not impact the customer?</v>
      </c>
      <c r="C136" s="8" t="s">
        <v>102</v>
      </c>
      <c r="D136" s="262" t="s">
        <v>289</v>
      </c>
      <c r="E136" s="147" t="str">
        <f>IF((C136=""),VLOOKUP(A136,Questions!B:G,4,FALSE),IF(C136="Yes",VLOOKUP(A136,Questions!B:G,6,FALSE),IF(C136="No",VLOOKUP(A136,Questions!B:G,5,FALSE),"N/A")))</f>
        <v>Define current off-peak hours, including time zones as necessary.</v>
      </c>
      <c r="F136" s="151" t="str">
        <f>VLOOKUP(A136,'Analyst Report'!$A$39:$E$288,5,FALSE)</f>
        <v xml:space="preserve"> </v>
      </c>
    </row>
    <row r="137" spans="1:7" ht="64.5" customHeight="1">
      <c r="A137" s="10" t="s">
        <v>290</v>
      </c>
      <c r="B137" s="21" t="str">
        <f>VLOOKUP(A137,Questions!$B$3:$C$256,2,FALSE)</f>
        <v>Do procedures exist to provide that emergency changes are documented and authorized (including after-the-fact approval)?</v>
      </c>
      <c r="C137" s="8" t="s">
        <v>102</v>
      </c>
      <c r="D137" s="262" t="s">
        <v>291</v>
      </c>
      <c r="E137" s="147" t="str">
        <f>IF((C137=""),VLOOKUP(A137,Questions!B:G,4,FALSE),IF(C137="Yes",VLOOKUP(A137,Questions!B:G,6,FALSE),IF(C137="No",VLOOKUP(A137,Questions!B:G,5,FALSE),"N/A")))</f>
        <v>Summarize implemented procedures ensuring that emergency changes are documented and authorized.</v>
      </c>
      <c r="F137" s="151" t="str">
        <f>VLOOKUP(A137,'Analyst Report'!$A$39:$E$288,5,FALSE)</f>
        <v xml:space="preserve"> </v>
      </c>
    </row>
    <row r="138" spans="1:7" ht="64.5" customHeight="1">
      <c r="A138" s="10" t="s">
        <v>292</v>
      </c>
      <c r="B138" s="21" t="str">
        <f>VLOOKUP(A138,Questions!$B$3:$C$256,2,FALSE)</f>
        <v>Do you have an implemented system configuration management process? (e.g.,secure "gold" images, etc.)</v>
      </c>
      <c r="C138" s="8" t="s">
        <v>102</v>
      </c>
      <c r="D138" s="262" t="s">
        <v>293</v>
      </c>
      <c r="E138" s="147" t="str">
        <f>IF((C138=""),VLOOKUP(A138,Questions!B:G,4,FALSE),IF(C138="Yes",VLOOKUP(A138,Questions!B:G,6,FALSE),IF(C138="No",VLOOKUP(A138,Questions!B:G,5,FALSE),"N/A")))</f>
        <v>Summarize your implemented system configuration management precess.</v>
      </c>
      <c r="F138" s="151" t="str">
        <f>VLOOKUP(A138,'Analyst Report'!$A$39:$E$288,5,FALSE)</f>
        <v xml:space="preserve"> </v>
      </c>
    </row>
    <row r="139" spans="1:7" ht="64.5" customHeight="1">
      <c r="A139" s="10" t="s">
        <v>294</v>
      </c>
      <c r="B139" s="21" t="str">
        <f>VLOOKUP(A139,Questions!$B$3:$C$256,2,FALSE)</f>
        <v>Do you have a systems management and configuration strategy that encompasses servers, appliances, cloud services, applications, and mobile devices (company and employee owned)?</v>
      </c>
      <c r="C139" s="8" t="s">
        <v>102</v>
      </c>
      <c r="D139" s="262" t="s">
        <v>295</v>
      </c>
      <c r="E139" s="147" t="str">
        <f>IF((C139=""),VLOOKUP(A139,Questions!B:G,4,FALSE),IF(C139="Yes",VLOOKUP(A139,Questions!B:G,6,FALSE),IF(C139="No",VLOOKUP(A139,Questions!B:G,5,FALSE),"N/A")))</f>
        <v>Summarize your systems management and configuration strategy.</v>
      </c>
      <c r="F139" s="151" t="str">
        <f>VLOOKUP(A139,'Analyst Report'!$A$39:$E$288,5,FALSE)</f>
        <v xml:space="preserve"> </v>
      </c>
      <c r="G139" s="239" t="s">
        <v>91</v>
      </c>
    </row>
    <row r="140" spans="1:7" ht="36" customHeight="1">
      <c r="A140" s="283" t="s">
        <v>296</v>
      </c>
      <c r="B140" s="283"/>
      <c r="C140" s="18" t="s">
        <v>94</v>
      </c>
      <c r="D140" s="18" t="s">
        <v>95</v>
      </c>
      <c r="E140" s="146" t="s">
        <v>96</v>
      </c>
      <c r="F140" s="150" t="s">
        <v>97</v>
      </c>
      <c r="G140"/>
    </row>
    <row r="141" spans="1:7" ht="48" customHeight="1">
      <c r="A141" s="10" t="s">
        <v>297</v>
      </c>
      <c r="B141" s="21" t="str">
        <f>VLOOKUP(A141,Questions!$B$3:$C$256,2,FALSE)</f>
        <v>Does the environment provide for dedicated single-tenant capabilities? If not, describe how your product or environment separates data from different customers (e.g., logically, physically, single tenancy, multi-tenancy).</v>
      </c>
      <c r="C141" s="16" t="s">
        <v>100</v>
      </c>
      <c r="D141" s="25" t="s">
        <v>298</v>
      </c>
      <c r="E141" s="147" t="str">
        <f>IF((C141=""),VLOOKUP(A141,Questions!B:G,4,FALSE),IF(C141="Yes",VLOOKUP(A141,Questions!B:G,6,FALSE),IF(C141="No",VLOOKUP(A141,Questions!B:G,5,FALSE),"N/A")))</f>
        <v>Describe your plan to separate institution data from that of other customers.</v>
      </c>
      <c r="F141" s="151" t="str">
        <f>VLOOKUP(A141,'Analyst Report'!$A$39:$E$288,5,FALSE)</f>
        <v xml:space="preserve"> </v>
      </c>
      <c r="G141"/>
    </row>
    <row r="142" spans="1:7" ht="48" customHeight="1">
      <c r="A142" s="10" t="s">
        <v>299</v>
      </c>
      <c r="B142" s="21" t="str">
        <f>VLOOKUP(A142,Questions!$B$3:$C$256,2,FALSE)</f>
        <v>Will the institution's data be stored on any devices (database servers, file servers, SAN, NAS, etc.) configured with non-RFC 1918/4193 (i.e., publicly routable) IP addresses?</v>
      </c>
      <c r="C142" s="16" t="s">
        <v>100</v>
      </c>
      <c r="D142" s="25"/>
      <c r="E142" s="147" t="str">
        <f>IF((C142=""),VLOOKUP(A142,Questions!B:G,4,FALSE),IF(C142="Yes",VLOOKUP(A142,Questions!B:G,6,FALSE),IF(C142="No",VLOOKUP(A142,Questions!B:G,5,FALSE),"N/A")))</f>
        <v xml:space="preserve"> </v>
      </c>
      <c r="F142" s="151" t="str">
        <f>VLOOKUP(A142,'Analyst Report'!$A$39:$E$288,5,FALSE)</f>
        <v xml:space="preserve"> </v>
      </c>
      <c r="G142"/>
    </row>
    <row r="143" spans="1:7" ht="48" customHeight="1">
      <c r="A143" s="10" t="s">
        <v>300</v>
      </c>
      <c r="B143" s="21" t="str">
        <f>VLOOKUP(A143,Questions!$B$3:$C$256,2,FALSE)</f>
        <v>Is sensitive data encrypted, using secure protocols/algorithms, in transport? (e.g., system-to-client)</v>
      </c>
      <c r="C143" s="16" t="s">
        <v>102</v>
      </c>
      <c r="D143" s="25" t="s">
        <v>301</v>
      </c>
      <c r="E143" s="147" t="str">
        <f>IF((C143=""),VLOOKUP(A143,Questions!B:G,4,FALSE),IF(C143="Yes",VLOOKUP(A143,Questions!B:G,6,FALSE),IF(C143="No",VLOOKUP(A143,Questions!B:G,5,FALSE),"N/A")))</f>
        <v>Summarize your transport encryption strategy.</v>
      </c>
      <c r="F143" s="151" t="str">
        <f>VLOOKUP(A143,'Analyst Report'!$A$39:$E$288,5,FALSE)</f>
        <v xml:space="preserve"> </v>
      </c>
      <c r="G143"/>
    </row>
    <row r="144" spans="1:7" ht="48" customHeight="1">
      <c r="A144" s="10" t="s">
        <v>302</v>
      </c>
      <c r="B144" s="21" t="str">
        <f>VLOOKUP(A144,Questions!$B$3:$C$256,2,FALSE)</f>
        <v>Is sensitive data encrypted, using secure protocols/algorithms, in storage? (e.g., disk encryption, at-rest, files, and within a running database)</v>
      </c>
      <c r="C144" s="16" t="s">
        <v>102</v>
      </c>
      <c r="D144" s="25" t="s">
        <v>303</v>
      </c>
      <c r="E144" s="147" t="str">
        <f>IF((C144=""),VLOOKUP(A144,Questions!B:G,4,FALSE),IF(C144="Yes",VLOOKUP(A144,Questions!B:G,6,FALSE),IF(C144="No",VLOOKUP(A144,Questions!B:G,5,FALSE),"N/A")))</f>
        <v>Summarize your data encryption strategy and state what encryption options are available.</v>
      </c>
      <c r="F144" s="151" t="str">
        <f>VLOOKUP(A144,'Analyst Report'!$A$39:$E$288,5,FALSE)</f>
        <v xml:space="preserve"> </v>
      </c>
      <c r="G144"/>
    </row>
    <row r="145" spans="1:7" ht="48" customHeight="1">
      <c r="A145" s="10" t="s">
        <v>304</v>
      </c>
      <c r="B145" s="21" t="str">
        <f>VLOOKUP(A145,Questions!$B$3:$C$256,2,FALSE)</f>
        <v>Do all cryptographic modules in use in your product conform to the Federal Information Processing Standards (FIPS PUB 140-3)?</v>
      </c>
      <c r="C145" s="16" t="s">
        <v>102</v>
      </c>
      <c r="D145" s="25" t="s">
        <v>305</v>
      </c>
      <c r="E145" s="147" t="str">
        <f>IF((C145=""),VLOOKUP(A145,Questions!B:G,4,FALSE),IF(C145="Yes",VLOOKUP(A145,Questions!B:G,6,FALSE),IF(C145="No",VLOOKUP(A145,Questions!B:G,5,FALSE),"N/A")))</f>
        <v xml:space="preserve">Provide reference to FIPS 140-3 validation certificates. </v>
      </c>
      <c r="F145" s="151" t="str">
        <f>VLOOKUP(A145,'Analyst Report'!$A$39:$E$288,5,FALSE)</f>
        <v xml:space="preserve"> </v>
      </c>
      <c r="G145"/>
    </row>
    <row r="146" spans="1:7" ht="65.25" customHeight="1">
      <c r="A146" s="10" t="s">
        <v>306</v>
      </c>
      <c r="B146" s="21" t="str">
        <f>VLOOKUP(A146,Questions!$B$3:$C$256,2,FALSE)</f>
        <v>At the completion of this contract, will data be returned to the institution and deleted from all your systems and archives?</v>
      </c>
      <c r="C146" s="16" t="s">
        <v>102</v>
      </c>
      <c r="D146" s="25" t="s">
        <v>307</v>
      </c>
      <c r="E146" s="147" t="str">
        <f>IF((C146=""),VLOOKUP(A146,Questions!B:G,4,FALSE),IF(C146="Yes",VLOOKUP(A146,Questions!B:G,6,FALSE),IF(C146="No",VLOOKUP(A146,Questions!B:G,5,FALSE),"N/A")))</f>
        <v>State the length of time that the institution's data will be available in the system at the completion of the contract.</v>
      </c>
      <c r="F146" s="151" t="str">
        <f>VLOOKUP(A146,'Analyst Report'!$A$39:$E$288,5,FALSE)</f>
        <v xml:space="preserve"> </v>
      </c>
      <c r="G146"/>
    </row>
    <row r="147" spans="1:7" ht="60" customHeight="1">
      <c r="A147" s="10" t="s">
        <v>308</v>
      </c>
      <c r="B147" s="21" t="str">
        <f>VLOOKUP(A147,Questions!$B$3:$C$256,2,FALSE)</f>
        <v>Will the institution's data be available within the system for a period of time at the completion of this contract?</v>
      </c>
      <c r="C147" s="16" t="s">
        <v>102</v>
      </c>
      <c r="D147" s="25" t="s">
        <v>307</v>
      </c>
      <c r="E147" s="147" t="str">
        <f>IF((C147=""),VLOOKUP(A147,Questions!B:G,4,FALSE),IF(C147="Yes",VLOOKUP(A147,Questions!B:G,6,FALSE),IF(C147="No",VLOOKUP(A147,Questions!B:G,5,FALSE),"N/A")))</f>
        <v>State the length of time that the institution's data will be available in the system at the completion of the contract.</v>
      </c>
      <c r="F147" s="151" t="str">
        <f>VLOOKUP(A147,'Analyst Report'!$A$39:$E$288,5,FALSE)</f>
        <v xml:space="preserve"> </v>
      </c>
      <c r="G147"/>
    </row>
    <row r="148" spans="1:7" ht="48" customHeight="1">
      <c r="A148" s="10" t="s">
        <v>309</v>
      </c>
      <c r="B148" s="21" t="str">
        <f>VLOOKUP(A148,Questions!$B$3:$C$256,2,FALSE)</f>
        <v>Can the institution extract a full or partial backup of data?</v>
      </c>
      <c r="C148" s="16" t="s">
        <v>102</v>
      </c>
      <c r="D148" s="25" t="s">
        <v>310</v>
      </c>
      <c r="E148" s="147" t="str">
        <f>IF((C148=""),VLOOKUP(A148,Questions!B:G,4,FALSE),IF(C148="Yes",VLOOKUP(A148,Questions!B:G,6,FALSE),IF(C148="No",VLOOKUP(A148,Questions!B:G,5,FALSE),"N/A")))</f>
        <v>Provide a general summary of how full and partial backups of data can be extracted.</v>
      </c>
      <c r="F148" s="151" t="str">
        <f>VLOOKUP(A148,'Analyst Report'!$A$39:$E$288,5,FALSE)</f>
        <v xml:space="preserve"> </v>
      </c>
      <c r="G148"/>
    </row>
    <row r="149" spans="1:7" ht="48" customHeight="1">
      <c r="A149" s="10" t="s">
        <v>311</v>
      </c>
      <c r="B149" s="21" t="str">
        <f>VLOOKUP(A149,Questions!$B$3:$C$256,2,FALSE)</f>
        <v>Are ownership rights to all data, inputs, outputs, and metadata retained by the institution?</v>
      </c>
      <c r="C149" s="16" t="s">
        <v>102</v>
      </c>
      <c r="D149" s="25" t="s">
        <v>312</v>
      </c>
      <c r="E149" s="147" t="str">
        <f>IF((C149=""),VLOOKUP(A149,Questions!B:G,4,FALSE),IF(C149="Yes",VLOOKUP(A149,Questions!B:G,6,FALSE),IF(C149="No",VLOOKUP(A149,Questions!B:G,5,FALSE),"N/A")))</f>
        <v>Provide reference to your data ownership documention.</v>
      </c>
      <c r="F149" s="151" t="str">
        <f>VLOOKUP(A149,'Analyst Report'!$A$39:$E$288,5,FALSE)</f>
        <v xml:space="preserve"> </v>
      </c>
      <c r="G149"/>
    </row>
    <row r="150" spans="1:7" ht="48" customHeight="1">
      <c r="A150" s="10" t="s">
        <v>313</v>
      </c>
      <c r="B150" s="21" t="str">
        <f>VLOOKUP(A150,Questions!$B$3:$C$256,2,FALSE)</f>
        <v>Are these rights retained even through a provider acquisition or bankruptcy event?</v>
      </c>
      <c r="C150" s="16" t="s">
        <v>102</v>
      </c>
      <c r="D150" s="25"/>
      <c r="E150" s="147" t="str">
        <f>IF((C150=""),VLOOKUP(A150,Questions!B:G,4,FALSE),IF(C150="Yes",VLOOKUP(A150,Questions!B:G,6,FALSE),IF(C150="No",VLOOKUP(A150,Questions!B:G,5,FALSE),"N/A")))</f>
        <v>Provide references, as needed.</v>
      </c>
      <c r="F150" s="151" t="str">
        <f>VLOOKUP(A150,'Analyst Report'!$A$39:$E$288,5,FALSE)</f>
        <v xml:space="preserve"> </v>
      </c>
      <c r="G150"/>
    </row>
    <row r="151" spans="1:7" ht="48" customHeight="1">
      <c r="A151" s="10" t="s">
        <v>314</v>
      </c>
      <c r="B151" s="21" t="str">
        <f>VLOOKUP(A151,Questions!$B$3:$C$256,2,FALSE)</f>
        <v>In the event of imminent bankruptcy, closing of business, or retirement of service, will you provide 90 days for customers to get their data out of the system and migrate applications?</v>
      </c>
      <c r="C151" s="16" t="s">
        <v>102</v>
      </c>
      <c r="D151" s="25" t="s">
        <v>315</v>
      </c>
      <c r="E151" s="147" t="str">
        <f>IF((C151=""),VLOOKUP(A151,Questions!B:G,4,FALSE),IF(C151="Yes",VLOOKUP(A151,Questions!B:G,6,FALSE),IF(C151="No",VLOOKUP(A151,Questions!B:G,5,FALSE),"N/A")))</f>
        <v>State how the institution will be notified of imminent termination.</v>
      </c>
      <c r="F151" s="151" t="str">
        <f>VLOOKUP(A151,'Analyst Report'!$A$39:$E$288,5,FALSE)</f>
        <v xml:space="preserve"> </v>
      </c>
      <c r="G151"/>
    </row>
    <row r="152" spans="1:7" ht="48" customHeight="1">
      <c r="A152" s="10" t="s">
        <v>316</v>
      </c>
      <c r="B152" s="21" t="str">
        <f>VLOOKUP(A152,Questions!$B$3:$C$256,2,FALSE)</f>
        <v>Are involatile backup copies made according to predefined schedules and securely stored and protected?</v>
      </c>
      <c r="C152" s="16" t="s">
        <v>102</v>
      </c>
      <c r="D152" s="25" t="s">
        <v>317</v>
      </c>
      <c r="E152" s="147" t="str">
        <f>IF((C152=""),VLOOKUP(A152,Questions!B:G,4,FALSE),IF(C152="Yes",VLOOKUP(A152,Questions!B:G,6,FALSE),IF(C152="No",VLOOKUP(A152,Questions!B:G,5,FALSE),"N/A")))</f>
        <v>If your strategy uses different processes for services and data, ensure that all strategies are clearly stated and supported.</v>
      </c>
      <c r="F152" s="151" t="str">
        <f>VLOOKUP(A152,'Analyst Report'!$A$39:$E$288,5,FALSE)</f>
        <v xml:space="preserve"> </v>
      </c>
      <c r="G152"/>
    </row>
    <row r="153" spans="1:7" ht="54" customHeight="1">
      <c r="A153" s="10" t="s">
        <v>318</v>
      </c>
      <c r="B153" s="21" t="str">
        <f>VLOOKUP(A153,Questions!$B$3:$C$256,2,FALSE)</f>
        <v>Do current backups include all operating system software, utilities, security software, application software, and data files necessary for recovery?</v>
      </c>
      <c r="C153" s="16" t="s">
        <v>102</v>
      </c>
      <c r="D153" s="25" t="s">
        <v>319</v>
      </c>
      <c r="E153" s="147" t="str">
        <f>IF((C153=""),VLOOKUP(A153,Questions!B:G,4,FALSE),IF(C153="Yes",VLOOKUP(A153,Questions!B:G,6,FALSE),IF(C153="No",VLOOKUP(A153,Questions!B:G,5,FALSE),"N/A")))</f>
        <v>Decribe your overall strategy to accomplish these elements.</v>
      </c>
      <c r="F153" s="151" t="str">
        <f>VLOOKUP(A153,'Analyst Report'!$A$39:$E$288,5,FALSE)</f>
        <v xml:space="preserve"> </v>
      </c>
      <c r="G153"/>
    </row>
    <row r="154" spans="1:7" ht="48" customHeight="1">
      <c r="A154" s="10" t="s">
        <v>320</v>
      </c>
      <c r="B154" s="21" t="str">
        <f>VLOOKUP(A154,Questions!$B$3:$C$256,2,FALSE)</f>
        <v>Are you performing off-site backups? (i.e., digitally moved off site)</v>
      </c>
      <c r="C154" s="16" t="s">
        <v>102</v>
      </c>
      <c r="D154" s="25" t="s">
        <v>321</v>
      </c>
      <c r="E154" s="147" t="str">
        <f>IF((C154=""),VLOOKUP(A154,Questions!B:G,4,FALSE),IF(C154="Yes",VLOOKUP(A154,Questions!B:G,6,FALSE),IF(C154="No",VLOOKUP(A154,Questions!B:G,5,FALSE),"N/A")))</f>
        <v>Summarize your off site backup strategy.</v>
      </c>
      <c r="F154" s="151" t="str">
        <f>VLOOKUP(A154,'Analyst Report'!$A$39:$E$288,5,FALSE)</f>
        <v xml:space="preserve"> </v>
      </c>
      <c r="G154"/>
    </row>
    <row r="155" spans="1:7" ht="48" customHeight="1">
      <c r="A155" s="10" t="s">
        <v>322</v>
      </c>
      <c r="B155" s="21" t="str">
        <f>VLOOKUP(A155,Questions!$B$3:$C$256,2,FALSE)</f>
        <v>Are physical backups taken off site? (i.e., physically moved off site)</v>
      </c>
      <c r="C155" s="16" t="s">
        <v>100</v>
      </c>
      <c r="D155" s="25" t="s">
        <v>323</v>
      </c>
      <c r="E155" s="147" t="str">
        <f>IF((C155=""),VLOOKUP(A155,Questions!B:G,4,FALSE),IF(C155="Yes",VLOOKUP(A155,Questions!B:G,6,FALSE),IF(C155="No",VLOOKUP(A155,Questions!B:G,5,FALSE),"N/A")))</f>
        <v>State any plans to implement off site physical backups in your environment.</v>
      </c>
      <c r="F155" s="151" t="str">
        <f>VLOOKUP(A155,'Analyst Report'!$A$39:$E$288,5,FALSE)</f>
        <v xml:space="preserve"> </v>
      </c>
      <c r="G155"/>
    </row>
    <row r="156" spans="1:7" ht="48" customHeight="1">
      <c r="A156" s="10" t="s">
        <v>324</v>
      </c>
      <c r="B156" s="21" t="str">
        <f>VLOOKUP(A156,Questions!$B$3:$C$256,2,FALSE)</f>
        <v>Do backups containing the institution's data ever leave the institution's data zone either physically or via network routing?</v>
      </c>
      <c r="C156" s="16" t="s">
        <v>102</v>
      </c>
      <c r="D156" s="25" t="s">
        <v>325</v>
      </c>
      <c r="E156" s="147" t="str">
        <f>IF((C156=""),VLOOKUP(A156,Questions!B:G,4,FALSE),IF(C156="Yes",VLOOKUP(A156,Questions!B:G,6,FALSE),IF(C156="No",VLOOKUP(A156,Questions!B:G,5,FALSE),"N/A")))</f>
        <v>Summarize why backups containing the institution's data leave the institution's data zone.</v>
      </c>
      <c r="F156" s="151" t="str">
        <f>VLOOKUP(A156,'Analyst Report'!$A$39:$E$288,5,FALSE)</f>
        <v xml:space="preserve"> </v>
      </c>
      <c r="G156"/>
    </row>
    <row r="157" spans="1:7" ht="48" customHeight="1">
      <c r="A157" s="10" t="s">
        <v>326</v>
      </c>
      <c r="B157" s="21" t="str">
        <f>VLOOKUP(A157,Questions!$B$3:$C$256,2,FALSE)</f>
        <v>Are data backups encrypted?</v>
      </c>
      <c r="C157" s="16" t="s">
        <v>102</v>
      </c>
      <c r="D157" s="25" t="s">
        <v>327</v>
      </c>
      <c r="E157" s="147" t="str">
        <f>IF((C157=""),VLOOKUP(A157,Questions!B:G,4,FALSE),IF(C157="Yes",VLOOKUP(A157,Questions!B:G,6,FALSE),IF(C157="No",VLOOKUP(A157,Questions!B:G,5,FALSE),"N/A")))</f>
        <v>Summarize the encryption algorithm/strategy you are using to secure backups.</v>
      </c>
      <c r="F157" s="151" t="str">
        <f>VLOOKUP(A157,'Analyst Report'!$A$39:$E$288,5,FALSE)</f>
        <v xml:space="preserve"> </v>
      </c>
      <c r="G157"/>
    </row>
    <row r="158" spans="1:7" ht="72" customHeight="1">
      <c r="A158" s="10" t="s">
        <v>328</v>
      </c>
      <c r="B158" s="21" t="str">
        <f>VLOOKUP(A158,Questions!$B$3:$C$256,2,FALSE)</f>
        <v>Do you have a cryptographic key management process (generation, exchange, storage, safeguards, use, vetting, and replacement) that is documented and currently implemented, for all system components? (e.g., database, system, web, etc.)</v>
      </c>
      <c r="C158" s="16" t="s">
        <v>102</v>
      </c>
      <c r="D158" s="26" t="s">
        <v>329</v>
      </c>
      <c r="E158" s="147" t="str">
        <f>IF((C158=""),VLOOKUP(A158,Questions!B:G,4,FALSE),IF(C158="Yes",VLOOKUP(A158,Questions!B:G,6,FALSE),IF(C158="No",VLOOKUP(A158,Questions!B:G,5,FALSE),"N/A")))</f>
        <v>Summarize your cryptographic key management process.</v>
      </c>
      <c r="F158" s="151" t="str">
        <f>VLOOKUP(A158,'Analyst Report'!$A$39:$E$288,5,FALSE)</f>
        <v xml:space="preserve"> </v>
      </c>
      <c r="G158"/>
    </row>
    <row r="159" spans="1:7" ht="48" customHeight="1">
      <c r="A159" s="10" t="s">
        <v>330</v>
      </c>
      <c r="B159" s="21" t="str">
        <f>VLOOKUP(A159,Questions!$B$3:$C$256,2,FALSE)</f>
        <v>Do you have a media handling process that is documented and currently implemented that meets established business needs and regulatory requirements, including end-of-life, repurposing and data sanitization procedures?</v>
      </c>
      <c r="C159" s="16" t="s">
        <v>102</v>
      </c>
      <c r="D159" s="25" t="s">
        <v>331</v>
      </c>
      <c r="E159" s="147" t="str">
        <f>IF((C159=""),VLOOKUP(A159,Questions!B:G,4,FALSE),IF(C159="Yes",VLOOKUP(A159,Questions!B:G,6,FALSE),IF(C159="No",VLOOKUP(A159,Questions!B:G,5,FALSE),"N/A")))</f>
        <v>Provide documented details of this process (link or attached).</v>
      </c>
      <c r="F159" s="151" t="str">
        <f>VLOOKUP(A159,'Analyst Report'!$A$39:$E$288,5,FALSE)</f>
        <v xml:space="preserve"> </v>
      </c>
      <c r="G159"/>
    </row>
    <row r="160" spans="1:7" ht="48" customHeight="1">
      <c r="A160" s="10" t="s">
        <v>332</v>
      </c>
      <c r="B160" s="21" t="str">
        <f>VLOOKUP(A160,Questions!$B$3:$C$256,2,FALSE)</f>
        <v>Does the process described in DATA-19 adhere to DoD 5220.22-M and/or NIST SP 800-88 standards?</v>
      </c>
      <c r="C160" s="16" t="s">
        <v>102</v>
      </c>
      <c r="D160" s="25" t="s">
        <v>331</v>
      </c>
      <c r="E160" s="147">
        <f>IF((C160=""),VLOOKUP(A160,Questions!B:G,4,FALSE),IF(C160="Yes",VLOOKUP(A160,Questions!B:G,6,FALSE),IF(C160="No",VLOOKUP(A160,Questions!B:G,5,FALSE),"N/A")))</f>
        <v>0</v>
      </c>
      <c r="F160" s="151" t="str">
        <f>VLOOKUP(A160,'Analyst Report'!$A$39:$E$288,5,FALSE)</f>
        <v xml:space="preserve"> </v>
      </c>
      <c r="G160"/>
    </row>
    <row r="161" spans="1:7" ht="48" customHeight="1">
      <c r="A161" s="10" t="s">
        <v>333</v>
      </c>
      <c r="B161" s="21" t="str">
        <f>VLOOKUP(A161,Questions!$B$3:$C$256,2,FALSE)</f>
        <v>Is media used for long-term retention of business data and archival purposes stored in a secure, environmentally protected area?</v>
      </c>
      <c r="C161" s="16" t="s">
        <v>102</v>
      </c>
      <c r="D161" s="25" t="s">
        <v>334</v>
      </c>
      <c r="E161" s="147" t="str">
        <f>IF((C161=""),VLOOKUP(A161,Questions!B:G,4,FALSE),IF(C161="Yes",VLOOKUP(A161,Questions!B:G,6,FALSE),IF(C161="No",VLOOKUP(A161,Questions!B:G,5,FALSE),"N/A")))</f>
        <v>Provide a general summary of your archival environment.</v>
      </c>
      <c r="F161" s="151" t="str">
        <f>VLOOKUP(A161,'Analyst Report'!$A$39:$E$288,5,FALSE)</f>
        <v xml:space="preserve"> </v>
      </c>
      <c r="G161"/>
    </row>
    <row r="162" spans="1:7" ht="48" customHeight="1">
      <c r="A162" s="10" t="s">
        <v>335</v>
      </c>
      <c r="B162" s="21" t="str">
        <f>VLOOKUP(A162,Questions!$B$3:$C$256,2,FALSE)</f>
        <v>Will you handle data in a FERPA-compliant manner?</v>
      </c>
      <c r="C162" s="16" t="s">
        <v>102</v>
      </c>
      <c r="D162" s="25" t="s">
        <v>336</v>
      </c>
      <c r="E162" s="147" t="str">
        <f>IF((C162=""),VLOOKUP(A162,Questions!B:G,4,FALSE),IF(C162="Yes",VLOOKUP(A162,Questions!B:G,6,FALSE),IF(C162="No",VLOOKUP(A162,Questions!B:G,5,FALSE),"N/A")))</f>
        <v>Describe how FERPA compliance is integrated into your process and procedures.</v>
      </c>
      <c r="F162" s="151" t="str">
        <f>VLOOKUP(A162,'Analyst Report'!$A$39:$E$288,5,FALSE)</f>
        <v xml:space="preserve"> </v>
      </c>
      <c r="G162"/>
    </row>
    <row r="163" spans="1:7" ht="73.5" customHeight="1">
      <c r="A163" s="10" t="s">
        <v>337</v>
      </c>
      <c r="B163" s="21" t="str">
        <f>VLOOKUP(A163,Questions!$B$3:$C$256,2,FALSE)</f>
        <v>Does your staff (or third party) have access to institutional data (e.g., financial, PHI or other sensitive information) through any means?</v>
      </c>
      <c r="C163" s="16" t="s">
        <v>100</v>
      </c>
      <c r="D163" s="87" t="s">
        <v>338</v>
      </c>
      <c r="E163" s="147">
        <f>IF((C163=""),VLOOKUP(A163,Questions!B:G,4,FALSE),IF(C163="Yes",VLOOKUP(A163,Questions!B:G,6,FALSE),IF(C163="No",VLOOKUP(A163,Questions!B:G,5,FALSE),"N/A")))</f>
        <v>0</v>
      </c>
      <c r="F163" s="151" t="str">
        <f>VLOOKUP(A163,'Analyst Report'!$A$39:$E$288,5,FALSE)</f>
        <v xml:space="preserve"> </v>
      </c>
      <c r="G163"/>
    </row>
    <row r="164" spans="1:7" ht="48" customHeight="1">
      <c r="A164" s="10" t="s">
        <v>339</v>
      </c>
      <c r="B164" s="21" t="str">
        <f>VLOOKUP(A164,Questions!$B$3:$C$256,2,FALSE)</f>
        <v>Do you have a documented and currently implemented strategy for securing employee workstations when they work remotely (i.e., not in a trusted computing environment)?</v>
      </c>
      <c r="C164" s="16" t="s">
        <v>102</v>
      </c>
      <c r="D164" s="25" t="s">
        <v>340</v>
      </c>
      <c r="E164" s="147" t="str">
        <f>IF((C164=""),VLOOKUP(A164,Questions!B:G,4,FALSE),IF(C164="Yes",VLOOKUP(A164,Questions!B:G,6,FALSE),IF(C164="No",VLOOKUP(A164,Questions!B:G,5,FALSE),"N/A")))</f>
        <v>Provide a detailed summary outlining the security controls implemented to protect the institution's data.</v>
      </c>
      <c r="F164" s="151" t="str">
        <f>VLOOKUP(A164,'Analyst Report'!$A$39:$E$288,5,FALSE)</f>
        <v xml:space="preserve"> </v>
      </c>
      <c r="G164" s="239" t="s">
        <v>91</v>
      </c>
    </row>
    <row r="165" spans="1:7" ht="36" customHeight="1">
      <c r="A165" s="283" t="s">
        <v>341</v>
      </c>
      <c r="B165" s="283"/>
      <c r="C165" s="18" t="s">
        <v>94</v>
      </c>
      <c r="D165" s="18" t="s">
        <v>95</v>
      </c>
      <c r="E165" s="146" t="s">
        <v>96</v>
      </c>
      <c r="F165" s="150" t="s">
        <v>97</v>
      </c>
      <c r="G165"/>
    </row>
    <row r="166" spans="1:7" ht="49.5" customHeight="1">
      <c r="A166" s="10" t="s">
        <v>342</v>
      </c>
      <c r="B166" s="21" t="str">
        <f>VLOOKUP(A166,Questions!$B$3:$C$256,2,FALSE)</f>
        <v>Does the hosting provider have a SOC 2 Type 2 report available?</v>
      </c>
      <c r="C166" s="8"/>
      <c r="D166" s="9"/>
      <c r="E166" s="147" t="str">
        <f>IF((C166=""),VLOOKUP(A166,Questions!B:G,4,FALSE),IF(C166="Yes",VLOOKUP(A166,Questions!B:G,6,FALSE),IF(C166="No",VLOOKUP(A166,Questions!B:G,5,FALSE),"N/A")))</f>
        <v xml:space="preserve"> </v>
      </c>
      <c r="F166" s="151" t="str">
        <f>VLOOKUP(A166,'Analyst Report'!$A$39:$E$288,5,FALSE)</f>
        <v xml:space="preserve"> </v>
      </c>
      <c r="G166"/>
    </row>
    <row r="167" spans="1:7" ht="48" customHeight="1">
      <c r="A167" s="10" t="s">
        <v>343</v>
      </c>
      <c r="B167" s="21" t="str">
        <f>VLOOKUP(A167,Questions!$B$3:$C$256,2,FALSE)</f>
        <v>Are you generally able to accommodate storing each institution's data within their geographic region?</v>
      </c>
      <c r="C167" s="8" t="s">
        <v>100</v>
      </c>
      <c r="D167" s="9" t="s">
        <v>344</v>
      </c>
      <c r="E167" s="147" t="str">
        <f>IF((C167=""),VLOOKUP(A167,Questions!B:G,4,FALSE),IF(C167="Yes",VLOOKUP(A167,Questions!B:G,6,FALSE),IF(C167="No",VLOOKUP(A167,Questions!B:G,5,FALSE),"N/A")))</f>
        <v>Under what circumstances would institutional data leave a designated region or regions?</v>
      </c>
      <c r="F167" s="151" t="str">
        <f>VLOOKUP(A167,'Analyst Report'!$A$39:$E$288,5,FALSE)</f>
        <v xml:space="preserve"> </v>
      </c>
      <c r="G167"/>
    </row>
    <row r="168" spans="1:7" ht="48" customHeight="1">
      <c r="A168" s="10" t="s">
        <v>345</v>
      </c>
      <c r="B168" s="21" t="str">
        <f>VLOOKUP(A168,Questions!$B$3:$C$256,2,FALSE)</f>
        <v>Are the data centers staffed 24 hours a day, seven days a week (i.e., 24 x 7 x 365)?</v>
      </c>
      <c r="C168" s="8"/>
      <c r="D168" s="9"/>
      <c r="E168" s="147" t="str">
        <f>IF((C168=""),VLOOKUP(A168,Questions!B:G,4,FALSE),IF(C168="Yes",VLOOKUP(A168,Questions!B:G,6,FALSE),IF(C168="No",VLOOKUP(A168,Questions!B:G,5,FALSE),"N/A")))</f>
        <v xml:space="preserve"> </v>
      </c>
      <c r="F168" s="151" t="str">
        <f>VLOOKUP(A168,'Analyst Report'!$A$39:$E$288,5,FALSE)</f>
        <v xml:space="preserve"> </v>
      </c>
      <c r="G168"/>
    </row>
    <row r="169" spans="1:7" ht="47.25" customHeight="1">
      <c r="A169" s="10" t="s">
        <v>346</v>
      </c>
      <c r="B169" s="21" t="str">
        <f>VLOOKUP(A169,Questions!$B$3:$C$256,2,FALSE)</f>
        <v>Are your servers separated from other companies via a physical barrier, such as a cage or hardened walls?</v>
      </c>
      <c r="C169" s="8"/>
      <c r="D169" s="9"/>
      <c r="E169" s="147" t="str">
        <f>IF((C169=""),VLOOKUP(A169,Questions!B:G,4,FALSE),IF(C169="Yes",VLOOKUP(A169,Questions!B:G,6,FALSE),IF(C169="No",VLOOKUP(A169,Questions!B:G,5,FALSE),"N/A")))</f>
        <v xml:space="preserve"> </v>
      </c>
      <c r="F169" s="151" t="str">
        <f>VLOOKUP(A169,'Analyst Report'!$A$39:$E$288,5,FALSE)</f>
        <v xml:space="preserve"> </v>
      </c>
      <c r="G169"/>
    </row>
    <row r="170" spans="1:7" ht="47.25" customHeight="1">
      <c r="A170" s="10" t="s">
        <v>347</v>
      </c>
      <c r="B170" s="21" t="str">
        <f>VLOOKUP(A170,Questions!$B$3:$C$256,2,FALSE)</f>
        <v>Does a physical barrier fully enclose the physical space, preventing unauthorized physical contact with any of your devices?</v>
      </c>
      <c r="C170" s="8"/>
      <c r="D170" s="9"/>
      <c r="E170" s="147" t="str">
        <f>IF((C170=""),VLOOKUP(A170,Questions!B:G,4,FALSE),IF(C170="Yes",VLOOKUP(A170,Questions!B:G,6,FALSE),IF(C170="No",VLOOKUP(A170,Questions!B:G,5,FALSE),"N/A")))</f>
        <v xml:space="preserve"> </v>
      </c>
      <c r="F170" s="151" t="str">
        <f>VLOOKUP(A170,'Analyst Report'!$A$39:$E$288,5,FALSE)</f>
        <v xml:space="preserve"> </v>
      </c>
      <c r="G170"/>
    </row>
    <row r="171" spans="1:7" ht="48" customHeight="1">
      <c r="A171" s="10" t="s">
        <v>348</v>
      </c>
      <c r="B171" s="21" t="str">
        <f>VLOOKUP(A171,Questions!$B$3:$C$256,2,FALSE)</f>
        <v>Are your primary and secondary data centers geographically diverse?</v>
      </c>
      <c r="C171" s="8" t="s">
        <v>102</v>
      </c>
      <c r="D171" s="9" t="s">
        <v>349</v>
      </c>
      <c r="E171" s="147" t="str">
        <f>IF((C171=""),VLOOKUP(A171,Questions!B:G,4,FALSE),IF(C171="Yes",VLOOKUP(A171,Questions!B:G,6,FALSE),IF(C171="No",VLOOKUP(A171,Questions!B:G,5,FALSE),"N/A")))</f>
        <v>State your primary and secondary data center locations. For cloud infrastructures, state the primary and secondary zones.</v>
      </c>
      <c r="F171" s="151" t="str">
        <f>VLOOKUP(A171,'Analyst Report'!$A$39:$E$288,5,FALSE)</f>
        <v xml:space="preserve"> </v>
      </c>
      <c r="G171"/>
    </row>
    <row r="172" spans="1:7" ht="47.25" customHeight="1">
      <c r="A172" s="10" t="s">
        <v>350</v>
      </c>
      <c r="B172" s="21" t="str">
        <f>VLOOKUP(A172,Questions!$B$3:$C$256,2,FALSE)</f>
        <v>If outsourced or co-located, is there a contract in place to prevent data from leaving the institution's data zone?</v>
      </c>
      <c r="C172" s="8" t="s">
        <v>100</v>
      </c>
      <c r="D172" s="9" t="s">
        <v>351</v>
      </c>
      <c r="E172" s="147" t="str">
        <f>IF((C172=""),VLOOKUP(A172,Questions!B:G,4,FALSE),IF(C172="Yes",VLOOKUP(A172,Questions!B:G,6,FALSE),IF(C172="No",VLOOKUP(A172,Questions!B:G,5,FALSE),"N/A")))</f>
        <v xml:space="preserve"> </v>
      </c>
      <c r="F172" s="151" t="str">
        <f>VLOOKUP(A172,'Analyst Report'!$A$39:$E$288,5,FALSE)</f>
        <v xml:space="preserve"> </v>
      </c>
      <c r="G172"/>
    </row>
    <row r="173" spans="1:7" ht="48" customHeight="1">
      <c r="A173" s="10" t="s">
        <v>352</v>
      </c>
      <c r="B173" s="21" t="str">
        <f>VLOOKUP(A173,Questions!$B$3:$C$256,2,FALSE)</f>
        <v>What tier level is your data center (per levels defined by the Uptime Institute)?</v>
      </c>
      <c r="C173" s="8"/>
      <c r="D173" s="9"/>
      <c r="E173" s="147" t="str">
        <f>IF((C173=""),VLOOKUP(A173,Questions!B:G,4,FALSE),IF(C173="Yes",VLOOKUP(A173,Questions!B:G,6,FALSE),IF(C173="No",VLOOKUP(A173,Questions!B:G,5,FALSE),"N/A")))</f>
        <v>Review the Uptime Institute's level/tier direction provided on their website if you need addition information.</v>
      </c>
      <c r="F173" s="151" t="str">
        <f>VLOOKUP(A173,'Analyst Report'!$A$39:$E$288,5,FALSE)</f>
        <v xml:space="preserve"> </v>
      </c>
      <c r="G173"/>
    </row>
    <row r="174" spans="1:7" ht="48" customHeight="1">
      <c r="A174" s="10" t="s">
        <v>353</v>
      </c>
      <c r="B174" s="21" t="str">
        <f>VLOOKUP(A174,Questions!$B$3:$C$256,2,FALSE)</f>
        <v>Is the service hosted in a high-availability environment?</v>
      </c>
      <c r="C174" s="8" t="s">
        <v>102</v>
      </c>
      <c r="D174" s="9" t="s">
        <v>354</v>
      </c>
      <c r="E174" s="147" t="str">
        <f>IF((C174=""),VLOOKUP(A174,Questions!B:G,4,FALSE),IF(C174="Yes",VLOOKUP(A174,Questions!B:G,6,FALSE),IF(C174="No",VLOOKUP(A174,Questions!B:G,5,FALSE),"N/A")))</f>
        <v>Provide a summary to support your response selection.</v>
      </c>
      <c r="F174" s="151" t="str">
        <f>VLOOKUP(A174,'Analyst Report'!$A$39:$E$288,5,FALSE)</f>
        <v xml:space="preserve"> </v>
      </c>
      <c r="G174"/>
    </row>
    <row r="175" spans="1:7" ht="64.5" customHeight="1">
      <c r="A175" s="10" t="s">
        <v>355</v>
      </c>
      <c r="B175" s="21" t="str">
        <f>VLOOKUP(A175,Questions!$B$3:$C$256,2,FALSE)</f>
        <v xml:space="preserve">Is redundant power available for all data centers where institutional data will reside? </v>
      </c>
      <c r="C175" s="8"/>
      <c r="D175" s="9"/>
      <c r="E175" s="147" t="str">
        <f>IF((C175=""),VLOOKUP(A175,Questions!B:G,4,FALSE),IF(C175="Yes",VLOOKUP(A175,Questions!B:G,6,FALSE),IF(C175="No",VLOOKUP(A175,Questions!B:G,5,FALSE),"N/A")))</f>
        <v xml:space="preserve"> </v>
      </c>
      <c r="F175" s="151" t="str">
        <f>VLOOKUP(A175,'Analyst Report'!$A$39:$E$288,5,FALSE)</f>
        <v xml:space="preserve"> </v>
      </c>
      <c r="G175"/>
    </row>
    <row r="176" spans="1:7" ht="54" customHeight="1">
      <c r="A176" s="10" t="s">
        <v>356</v>
      </c>
      <c r="B176" s="21" t="str">
        <f>VLOOKUP(A176,Questions!$B$3:$C$256,2,FALSE)</f>
        <v>Are redundant power strategies tested?</v>
      </c>
      <c r="C176" s="8"/>
      <c r="D176" s="9"/>
      <c r="E176" s="147" t="str">
        <f>IF((C176=""),VLOOKUP(A176,Questions!B:G,4,FALSE),IF(C176="Yes",VLOOKUP(A176,Questions!B:G,6,FALSE),IF(C176="No",VLOOKUP(A176,Questions!B:G,5,FALSE),"N/A")))</f>
        <v xml:space="preserve"> </v>
      </c>
      <c r="F176" s="151" t="str">
        <f>VLOOKUP(A176,'Analyst Report'!$A$39:$E$288,5,FALSE)</f>
        <v xml:space="preserve"> </v>
      </c>
      <c r="G176"/>
    </row>
    <row r="177" spans="1:7" ht="48" customHeight="1">
      <c r="A177" s="10" t="s">
        <v>357</v>
      </c>
      <c r="B177" s="21" t="str">
        <f>VLOOKUP(A177,Questions!$B$3:$C$256,2,FALSE)</f>
        <v>Describe or provide a reference to the availability of cooling and fire-suppression systems in all data centers where institution data will reside.</v>
      </c>
      <c r="C177" s="312"/>
      <c r="D177" s="312"/>
      <c r="E177" s="147" t="str">
        <f>IF((C177=""),VLOOKUP(A177,Questions!B:G,4,FALSE),IF(C177="Yes",VLOOKUP(A177,Questions!B:G,6,FALSE),IF(C177="No",VLOOKUP(A177,Questions!B:G,5,FALSE),"N/A")))</f>
        <v>Ensure that all parts of DCTR-12 are clearly stated in your response.</v>
      </c>
      <c r="F177" s="151" t="str">
        <f>VLOOKUP(A177,'Analyst Report'!$A$39:$E$288,5,FALSE)</f>
        <v xml:space="preserve"> </v>
      </c>
      <c r="G177"/>
    </row>
    <row r="178" spans="1:7" ht="64.5" customHeight="1">
      <c r="A178" s="10" t="s">
        <v>358</v>
      </c>
      <c r="B178" s="21" t="str">
        <f>VLOOKUP(A178,Questions!$B$3:$C$256,2,FALSE)</f>
        <v>Do you have Internet Service Provider (ISP) redundancy?</v>
      </c>
      <c r="C178" s="8"/>
      <c r="D178" s="26"/>
      <c r="E178" s="147" t="str">
        <f>IF((C178=""),VLOOKUP(A178,Questions!B:G,4,FALSE),IF(C178="Yes",VLOOKUP(A178,Questions!B:G,6,FALSE),IF(C178="No",VLOOKUP(A178,Questions!B:G,5,FALSE),"N/A")))</f>
        <v>State the ISP provider(s) in addition to the number of ISPs that provide connectivity.</v>
      </c>
      <c r="F178" s="151" t="str">
        <f>VLOOKUP(A178,'Analyst Report'!$A$39:$E$288,5,FALSE)</f>
        <v xml:space="preserve"> </v>
      </c>
      <c r="G178"/>
    </row>
    <row r="179" spans="1:7" ht="64.5" customHeight="1">
      <c r="A179" s="10" t="s">
        <v>359</v>
      </c>
      <c r="B179" s="21" t="str">
        <f>VLOOKUP(A179,Questions!$B$3:$C$256,2,FALSE)</f>
        <v>Does every data center where the institution's data will reside have multiple telephone company or network provider entrances to the facility?</v>
      </c>
      <c r="C179" s="8"/>
      <c r="D179" s="26"/>
      <c r="E179" s="147" t="str">
        <f>IF((C179=""),VLOOKUP(A179,Questions!B:G,4,FALSE),IF(C179="Yes",VLOOKUP(A179,Questions!B:G,6,FALSE),IF(C179="No",VLOOKUP(A179,Questions!B:G,5,FALSE),"N/A")))</f>
        <v xml:space="preserve"> </v>
      </c>
      <c r="F179" s="151" t="str">
        <f>VLOOKUP(A179,'Analyst Report'!$A$39:$E$288,5,FALSE)</f>
        <v xml:space="preserve"> </v>
      </c>
      <c r="G179"/>
    </row>
    <row r="180" spans="1:7" ht="64.5" customHeight="1">
      <c r="A180" s="10" t="s">
        <v>360</v>
      </c>
      <c r="B180" s="21" t="str">
        <f>VLOOKUP(A180,Questions!$B$3:$C$256,2,FALSE)</f>
        <v>Are you requiring multi-factor authentication for administrators of your cloud environment?</v>
      </c>
      <c r="C180" s="8" t="s">
        <v>102</v>
      </c>
      <c r="D180" s="26" t="s">
        <v>361</v>
      </c>
      <c r="E180" s="147" t="str">
        <f>IF((C180=""),VLOOKUP(A180,Questions!B:G,4,FALSE),IF(C180="Yes",VLOOKUP(A180,Questions!B:G,6,FALSE),IF(C180="No",VLOOKUP(A180,Questions!B:G,5,FALSE),"N/A")))</f>
        <v>State which model of MFA you are using.</v>
      </c>
      <c r="F180" s="151" t="str">
        <f>VLOOKUP(A180,'Analyst Report'!$A$39:$E$288,5,FALSE)</f>
        <v xml:space="preserve"> </v>
      </c>
      <c r="G180"/>
    </row>
    <row r="181" spans="1:7" ht="64.5" customHeight="1">
      <c r="A181" s="10" t="s">
        <v>362</v>
      </c>
      <c r="B181" s="21" t="str">
        <f>VLOOKUP(A181,Questions!$B$3:$C$256,2,FALSE)</f>
        <v>Are you using your cloud providers available hardening tools or pre-hardened images?</v>
      </c>
      <c r="C181" s="8" t="s">
        <v>102</v>
      </c>
      <c r="D181" s="26" t="s">
        <v>351</v>
      </c>
      <c r="E181" s="147" t="str">
        <f>IF((C181=""),VLOOKUP(A181,Questions!B:G,4,FALSE),IF(C181="Yes",VLOOKUP(A181,Questions!B:G,6,FALSE),IF(C181="No",VLOOKUP(A181,Questions!B:G,5,FALSE),"N/A")))</f>
        <v xml:space="preserve"> </v>
      </c>
      <c r="F181" s="151" t="str">
        <f>VLOOKUP(A181,'Analyst Report'!$A$39:$E$288,5,FALSE)</f>
        <v xml:space="preserve"> </v>
      </c>
      <c r="G181"/>
    </row>
    <row r="182" spans="1:7" s="1" customFormat="1" ht="48" customHeight="1">
      <c r="A182" s="10" t="s">
        <v>363</v>
      </c>
      <c r="B182" s="21" t="str">
        <f>VLOOKUP(A182,Questions!$B$3:$C$256,2,FALSE)</f>
        <v>Does your cloud vendor have access to your encryption keys?</v>
      </c>
      <c r="C182" s="8" t="s">
        <v>100</v>
      </c>
      <c r="D182" s="9" t="s">
        <v>364</v>
      </c>
      <c r="E182" s="147">
        <f>IF((C182=""),VLOOKUP(A182,Questions!B:G,4,FALSE),IF(C182="Yes",VLOOKUP(A182,Questions!B:G,6,FALSE),IF(C182="No",VLOOKUP(A182,Questions!B:G,5,FALSE),"N/A")))</f>
        <v>0</v>
      </c>
      <c r="F182" s="151" t="str">
        <f>VLOOKUP(A182,'Analyst Report'!$A$39:$E$288,5,FALSE)</f>
        <v xml:space="preserve"> </v>
      </c>
      <c r="G182" s="239" t="s">
        <v>91</v>
      </c>
    </row>
    <row r="183" spans="1:7" ht="36" customHeight="1">
      <c r="A183" s="283" t="str">
        <f>IF(OR($C$30="No",$C$30="Yes"),"DRP - Respond to as many questions below as possible.","Disaster Recovery Plan")</f>
        <v>DRP - Respond to as many questions below as possible.</v>
      </c>
      <c r="B183" s="283"/>
      <c r="C183" s="18" t="s">
        <v>94</v>
      </c>
      <c r="D183" s="18" t="s">
        <v>95</v>
      </c>
      <c r="E183" s="146" t="s">
        <v>96</v>
      </c>
      <c r="F183" s="150" t="s">
        <v>97</v>
      </c>
      <c r="G183"/>
    </row>
    <row r="184" spans="1:7" ht="48" customHeight="1">
      <c r="A184" s="10" t="s">
        <v>365</v>
      </c>
      <c r="B184" s="21" t="str">
        <f>VLOOKUP(A184,Questions!$B$3:$C$256,2,FALSE)</f>
        <v>Describe or provide a reference to your Disaster Recovery Plan (DRP).</v>
      </c>
      <c r="C184" s="312" t="s">
        <v>366</v>
      </c>
      <c r="D184" s="312"/>
      <c r="E184" s="147" t="str">
        <f>IF((C184=""),VLOOKUP(A184,Questions!B:G,4,FALSE),IF(C184="Yes",VLOOKUP(A184,Questions!B:G,6,FALSE),IF(C184="No",VLOOKUP(A184,Questions!B:G,5,FALSE),"N/A")))</f>
        <v>N/A</v>
      </c>
      <c r="F184" s="151" t="str">
        <f>VLOOKUP(A184,'Analyst Report'!$A$39:$E$288,5,FALSE)</f>
        <v xml:space="preserve"> </v>
      </c>
      <c r="G184"/>
    </row>
    <row r="185" spans="1:7" ht="47.25" customHeight="1">
      <c r="A185" s="10" t="s">
        <v>367</v>
      </c>
      <c r="B185" s="21" t="str">
        <f>VLOOKUP(A185,Questions!$B$3:$C$256,2,FALSE)</f>
        <v>Is an owner assigned who is responsible for the maintenance and review of the DRP?</v>
      </c>
      <c r="C185" s="8" t="s">
        <v>102</v>
      </c>
      <c r="D185" s="9" t="s">
        <v>368</v>
      </c>
      <c r="E185" s="147" t="str">
        <f>IF((C185=""),VLOOKUP(A185,Questions!B:G,4,FALSE),IF(C185="Yes",VLOOKUP(A185,Questions!B:G,6,FALSE),IF(C185="No",VLOOKUP(A185,Questions!B:G,5,FALSE),"N/A")))</f>
        <v>State the responsible owner or position title.</v>
      </c>
      <c r="F185" s="151" t="str">
        <f>VLOOKUP(A185,'Analyst Report'!$A$39:$E$288,5,FALSE)</f>
        <v xml:space="preserve"> </v>
      </c>
      <c r="G185"/>
    </row>
    <row r="186" spans="1:7" ht="47.25" customHeight="1">
      <c r="A186" s="10" t="s">
        <v>369</v>
      </c>
      <c r="B186" s="21" t="str">
        <f>VLOOKUP(A186,Questions!$B$3:$C$256,2,FALSE)</f>
        <v>Can the institution review your DRP and supporting documentation?</v>
      </c>
      <c r="C186" s="8" t="s">
        <v>102</v>
      </c>
      <c r="D186" s="9" t="s">
        <v>370</v>
      </c>
      <c r="E186" s="147" t="str">
        <f>IF((C186=""),VLOOKUP(A186,Questions!B:G,4,FALSE),IF(C186="Yes",VLOOKUP(A186,Questions!B:G,6,FALSE),IF(C186="No",VLOOKUP(A186,Questions!B:G,5,FALSE),"N/A")))</f>
        <v>Provide DRP with your submission of this fully populated HECVAT.</v>
      </c>
      <c r="F186" s="151" t="str">
        <f>VLOOKUP(A186,'Analyst Report'!$A$39:$E$288,5,FALSE)</f>
        <v xml:space="preserve"> </v>
      </c>
      <c r="G186"/>
    </row>
    <row r="187" spans="1:7" ht="47.25" customHeight="1">
      <c r="A187" s="10" t="s">
        <v>371</v>
      </c>
      <c r="B187" s="21" t="str">
        <f>VLOOKUP(A187,Questions!$B$3:$C$256,2,FALSE)</f>
        <v>Are any disaster recovery locations outside the institution's geographic region?</v>
      </c>
      <c r="C187" s="8" t="s">
        <v>102</v>
      </c>
      <c r="D187" s="9" t="s">
        <v>354</v>
      </c>
      <c r="E187" s="147" t="str">
        <f>IF((C187=""),VLOOKUP(A187,Questions!B:G,4,FALSE),IF(C187="Yes",VLOOKUP(A187,Questions!B:G,6,FALSE),IF(C187="No",VLOOKUP(A187,Questions!B:G,5,FALSE),"N/A")))</f>
        <v>List all locations outside of the United States and provide a brief summary of each.</v>
      </c>
      <c r="F187" s="151" t="str">
        <f>VLOOKUP(A187,'Analyst Report'!$A$39:$E$288,5,FALSE)</f>
        <v xml:space="preserve"> </v>
      </c>
      <c r="G187"/>
    </row>
    <row r="188" spans="1:7" ht="47.25" customHeight="1">
      <c r="A188" s="10" t="s">
        <v>372</v>
      </c>
      <c r="B188" s="21" t="str">
        <f>VLOOKUP(A188,Questions!$B$3:$C$256,2,FALSE)</f>
        <v>Does your organization have a disaster recovery site or a contracted disaster recovery provider?</v>
      </c>
      <c r="C188" s="8" t="s">
        <v>102</v>
      </c>
      <c r="D188" s="9" t="s">
        <v>354</v>
      </c>
      <c r="E188" s="147" t="str">
        <f>IF((C188=""),VLOOKUP(A188,Questions!B:G,4,FALSE),IF(C188="Yes",VLOOKUP(A188,Questions!B:G,6,FALSE),IF(C188="No",VLOOKUP(A188,Questions!B:G,5,FALSE),"N/A")))</f>
        <v>Summarize your disaster recovery strategy including the type of availability your disaster recovery site provides.</v>
      </c>
      <c r="F188" s="151" t="str">
        <f>VLOOKUP(A188,'Analyst Report'!$A$39:$E$288,5,FALSE)</f>
        <v xml:space="preserve"> </v>
      </c>
      <c r="G188"/>
    </row>
    <row r="189" spans="1:7" ht="47.25" customHeight="1">
      <c r="A189" s="10" t="s">
        <v>373</v>
      </c>
      <c r="B189" s="21" t="str">
        <f>VLOOKUP(A189,Questions!$B$3:$C$256,2,FALSE)</f>
        <v>Does your organization conduct an annual test of relocating to this site for disaster recovery purposes?</v>
      </c>
      <c r="C189" s="8" t="s">
        <v>102</v>
      </c>
      <c r="D189" s="9" t="s">
        <v>374</v>
      </c>
      <c r="E189" s="147" t="str">
        <f>IF((C189=""),VLOOKUP(A189,Questions!B:G,4,FALSE),IF(C189="Yes",VLOOKUP(A189,Questions!B:G,6,FALSE),IF(C189="No",VLOOKUP(A189,Questions!B:G,5,FALSE),"N/A")))</f>
        <v>Summarize your disaster recovery relocation testing strategy.</v>
      </c>
      <c r="F189" s="151" t="str">
        <f>VLOOKUP(A189,'Analyst Report'!$A$39:$E$288,5,FALSE)</f>
        <v xml:space="preserve"> </v>
      </c>
      <c r="G189"/>
    </row>
    <row r="190" spans="1:7" ht="47.25" customHeight="1">
      <c r="A190" s="10" t="s">
        <v>375</v>
      </c>
      <c r="B190" s="21" t="str">
        <f>VLOOKUP(A190,Questions!$B$3:$C$256,2,FALSE)</f>
        <v>Is there a defined problem/issue escalation plan in your DRP for impacted clients?</v>
      </c>
      <c r="C190" s="8" t="s">
        <v>102</v>
      </c>
      <c r="D190" s="9" t="s">
        <v>376</v>
      </c>
      <c r="E190" s="147" t="str">
        <f>IF((C190=""),VLOOKUP(A190,Questions!B:G,4,FALSE),IF(C190="Yes",VLOOKUP(A190,Questions!B:G,6,FALSE),IF(C190="No",VLOOKUP(A190,Questions!B:G,5,FALSE),"N/A")))</f>
        <v>Summarize your problem/issue escalation plan.</v>
      </c>
      <c r="F190" s="151" t="str">
        <f>VLOOKUP(A190,'Analyst Report'!$A$39:$E$288,5,FALSE)</f>
        <v xml:space="preserve"> </v>
      </c>
      <c r="G190"/>
    </row>
    <row r="191" spans="1:7" ht="47.25" customHeight="1">
      <c r="A191" s="10" t="s">
        <v>377</v>
      </c>
      <c r="B191" s="21" t="str">
        <f>VLOOKUP(A191,Questions!$B$3:$C$256,2,FALSE)</f>
        <v>Is there a documented communication plan in your DRP for impacted clients?</v>
      </c>
      <c r="C191" s="8" t="s">
        <v>102</v>
      </c>
      <c r="D191" s="9" t="s">
        <v>250</v>
      </c>
      <c r="E191" s="147" t="str">
        <f>IF((C191=""),VLOOKUP(A191,Questions!B:G,4,FALSE),IF(C191="Yes",VLOOKUP(A191,Questions!B:G,6,FALSE),IF(C191="No",VLOOKUP(A191,Questions!B:G,5,FALSE),"N/A")))</f>
        <v>Summarize your documented communication plan in your DRP.</v>
      </c>
      <c r="F191" s="151" t="str">
        <f>VLOOKUP(A191,'Analyst Report'!$A$39:$E$288,5,FALSE)</f>
        <v xml:space="preserve"> </v>
      </c>
      <c r="G191"/>
    </row>
    <row r="192" spans="1:7" ht="47.25" customHeight="1">
      <c r="A192" s="10" t="s">
        <v>378</v>
      </c>
      <c r="B192" s="21" t="str">
        <f>VLOOKUP(A192,Questions!$B$3:$C$256,2,FALSE)</f>
        <v>Describe or provide a reference to how your disaster recovery plan is tested. (i.e., scope of DR tests, end-to-end testing, etc.)</v>
      </c>
      <c r="C192" s="312" t="s">
        <v>379</v>
      </c>
      <c r="D192" s="312"/>
      <c r="E192" s="147" t="str">
        <f>IF((C192=""),VLOOKUP(A192,Questions!B:G,4,FALSE),IF(C192="Yes",VLOOKUP(A192,Questions!B:G,6,FALSE),IF(C192="No",VLOOKUP(A192,Questions!B:G,5,FALSE),"N/A")))</f>
        <v>N/A</v>
      </c>
      <c r="F192" s="151" t="str">
        <f>VLOOKUP(A192,'Analyst Report'!$A$39:$E$288,5,FALSE)</f>
        <v xml:space="preserve"> </v>
      </c>
      <c r="G192"/>
    </row>
    <row r="193" spans="1:7" ht="64.5" customHeight="1">
      <c r="A193" s="10" t="s">
        <v>380</v>
      </c>
      <c r="B193" s="21" t="str">
        <f>VLOOKUP(A193,Questions!$B$3:$C$256,2,FALSE)</f>
        <v>Has the Disaster Recovery Plan been tested in the past year?</v>
      </c>
      <c r="C193" s="8" t="s">
        <v>102</v>
      </c>
      <c r="D193" s="9" t="s">
        <v>381</v>
      </c>
      <c r="E193" s="147" t="str">
        <f>IF((C193=""),VLOOKUP(A193,Questions!B:G,4,FALSE),IF(C193="Yes",VLOOKUP(A193,Questions!B:G,6,FALSE),IF(C193="No",VLOOKUP(A193,Questions!B:G,5,FALSE),"N/A")))</f>
        <v>Please provide a summary of the results in Additional Information (including actual recovery time).</v>
      </c>
      <c r="F193" s="151" t="str">
        <f>VLOOKUP(A193,'Analyst Report'!$A$39:$E$288,5,FALSE)</f>
        <v xml:space="preserve"> </v>
      </c>
      <c r="G193"/>
    </row>
    <row r="194" spans="1:7" ht="64.5" customHeight="1">
      <c r="A194" s="10" t="s">
        <v>382</v>
      </c>
      <c r="B194" s="21" t="str">
        <f>VLOOKUP(A194,Questions!$B$3:$C$256,2,FALSE)</f>
        <v>Are all components of the DRP reviewed at least annually and updated as needed to reflect change?</v>
      </c>
      <c r="C194" s="8" t="s">
        <v>102</v>
      </c>
      <c r="D194" s="9" t="s">
        <v>368</v>
      </c>
      <c r="E194" s="147" t="str">
        <f>IF((C194=""),VLOOKUP(A194,Questions!B:G,4,FALSE),IF(C194="Yes",VLOOKUP(A194,Questions!B:G,6,FALSE),IF(C194="No",VLOOKUP(A194,Questions!B:G,5,FALSE),"N/A")))</f>
        <v>Summarize your DRP review and update processes and/or procedures.</v>
      </c>
      <c r="F194" s="151" t="str">
        <f>VLOOKUP(A194,'Analyst Report'!$A$39:$E$288,5,FALSE)</f>
        <v xml:space="preserve"> </v>
      </c>
      <c r="G194" s="239" t="s">
        <v>91</v>
      </c>
    </row>
    <row r="195" spans="1:7" ht="36" customHeight="1">
      <c r="A195" s="283" t="s">
        <v>383</v>
      </c>
      <c r="B195" s="283"/>
      <c r="C195" s="18" t="s">
        <v>94</v>
      </c>
      <c r="D195" s="18" t="s">
        <v>95</v>
      </c>
      <c r="E195" s="146" t="s">
        <v>96</v>
      </c>
      <c r="F195" s="150" t="s">
        <v>97</v>
      </c>
      <c r="G195"/>
    </row>
    <row r="196" spans="1:7" ht="48" customHeight="1">
      <c r="A196" s="10" t="s">
        <v>384</v>
      </c>
      <c r="B196" s="21" t="str">
        <f>VLOOKUP(A196,Questions!$B$3:$C$309,2,FALSE)</f>
        <v>Are you utilizing a stateful packet inspection (SPI) firewall?</v>
      </c>
      <c r="C196" s="8" t="s">
        <v>102</v>
      </c>
      <c r="D196" s="9" t="s">
        <v>385</v>
      </c>
      <c r="E196" s="147" t="str">
        <f>IF((C196=""),VLOOKUP(A196,Questions!B:G,4,FALSE),IF(C196="Yes",VLOOKUP(A196,Questions!B:G,6,FALSE),IF(C196="No",VLOOKUP(A196,Questions!B:G,5,FALSE),"N/A")))</f>
        <v>Describe the currently implemented SPI firewall.</v>
      </c>
      <c r="F196" s="151" t="str">
        <f>VLOOKUP(A196,'Analyst Report'!$A$39:$E$288,5,FALSE)</f>
        <v xml:space="preserve"> </v>
      </c>
      <c r="G196"/>
    </row>
    <row r="197" spans="1:7" ht="48" customHeight="1">
      <c r="A197" s="10" t="s">
        <v>386</v>
      </c>
      <c r="B197" s="21" t="str">
        <f>VLOOKUP(A197,Questions!$B$3:$C$256,2,FALSE)</f>
        <v>Is authority for firewall change approval documented? Please list approver names or titles in Additional Info</v>
      </c>
      <c r="C197" s="8" t="s">
        <v>102</v>
      </c>
      <c r="D197" s="9" t="s">
        <v>387</v>
      </c>
      <c r="E197" s="147" t="str">
        <f>IF((C197=""),VLOOKUP(A197,Questions!B:G,4,FALSE),IF(C197="Yes",VLOOKUP(A197,Questions!B:G,6,FALSE),IF(C197="No",VLOOKUP(A197,Questions!B:G,5,FALSE),"N/A")))</f>
        <v>List approver names or titles.</v>
      </c>
      <c r="F197" s="151" t="str">
        <f>VLOOKUP(A197,'Analyst Report'!$A$39:$E$288,5,FALSE)</f>
        <v xml:space="preserve"> </v>
      </c>
      <c r="G197"/>
    </row>
    <row r="198" spans="1:7" ht="48" customHeight="1">
      <c r="A198" s="10" t="s">
        <v>388</v>
      </c>
      <c r="B198" s="21" t="str">
        <f>VLOOKUP(A198,Questions!$B$3:$C$256,2,FALSE)</f>
        <v>Do you have a documented policy for firewall change requests?</v>
      </c>
      <c r="C198" s="8" t="s">
        <v>102</v>
      </c>
      <c r="D198" s="9" t="s">
        <v>389</v>
      </c>
      <c r="E198" s="147" t="str">
        <f>IF((C198=""),VLOOKUP(A198,Questions!B:G,4,FALSE),IF(C198="Yes",VLOOKUP(A198,Questions!B:G,6,FALSE),IF(C198="No",VLOOKUP(A198,Questions!B:G,5,FALSE),"N/A")))</f>
        <v>Describe your documented firewall change request policy.</v>
      </c>
      <c r="F198" s="151" t="str">
        <f>VLOOKUP(A198,'Analyst Report'!$A$39:$E$288,5,FALSE)</f>
        <v xml:space="preserve"> </v>
      </c>
      <c r="G198"/>
    </row>
    <row r="199" spans="1:7" ht="48" customHeight="1">
      <c r="A199" s="10" t="s">
        <v>390</v>
      </c>
      <c r="B199" s="21" t="str">
        <f>VLOOKUP(A199,Questions!$B$3:$C$256,2,FALSE)</f>
        <v>Have you implemented an Intrusion Detection System (network-based)?</v>
      </c>
      <c r="C199" s="8" t="s">
        <v>102</v>
      </c>
      <c r="D199" s="9" t="s">
        <v>391</v>
      </c>
      <c r="E199" s="147" t="str">
        <f>IF((C199=""),VLOOKUP(A199,Questions!B:G,4,FALSE),IF(C199="Yes",VLOOKUP(A199,Questions!B:G,6,FALSE),IF(C199="No",VLOOKUP(A199,Questions!B:G,5,FALSE),"N/A")))</f>
        <v>Describe the currently implemented IDS.</v>
      </c>
      <c r="F199" s="151" t="str">
        <f>VLOOKUP(A199,'Analyst Report'!$A$39:$E$288,5,FALSE)</f>
        <v xml:space="preserve"> </v>
      </c>
      <c r="G199"/>
    </row>
    <row r="200" spans="1:7" ht="48" customHeight="1">
      <c r="A200" s="10" t="s">
        <v>392</v>
      </c>
      <c r="B200" s="21" t="str">
        <f>VLOOKUP(A200,Questions!$B$3:$C$256,2,FALSE)</f>
        <v>Have you implemented an Intrusion Prevention System (network-based)?</v>
      </c>
      <c r="C200" s="8" t="s">
        <v>102</v>
      </c>
      <c r="D200" s="9" t="s">
        <v>393</v>
      </c>
      <c r="E200" s="147" t="str">
        <f>IF((C200=""),VLOOKUP(A200,Questions!B:G,4,FALSE),IF(C200="Yes",VLOOKUP(A200,Questions!B:G,6,FALSE),IF(C200="No",VLOOKUP(A200,Questions!B:G,5,FALSE),"N/A")))</f>
        <v>Describe the currently implemented IPS.</v>
      </c>
      <c r="F200" s="151" t="str">
        <f>VLOOKUP(A200,'Analyst Report'!$A$39:$E$288,5,FALSE)</f>
        <v xml:space="preserve"> </v>
      </c>
      <c r="G200"/>
    </row>
    <row r="201" spans="1:7" ht="48" customHeight="1">
      <c r="A201" s="10" t="s">
        <v>394</v>
      </c>
      <c r="B201" s="21" t="str">
        <f>VLOOKUP(A201,Questions!$B$3:$C$256,2,FALSE)</f>
        <v>Do you employ host-based intrusion detection?</v>
      </c>
      <c r="C201" s="8" t="s">
        <v>102</v>
      </c>
      <c r="D201" s="9" t="s">
        <v>391</v>
      </c>
      <c r="E201" s="147" t="str">
        <f>IF((C201=""),VLOOKUP(A201,Questions!B:G,4,FALSE),IF(C201="Yes",VLOOKUP(A201,Questions!B:G,6,FALSE),IF(C201="No",VLOOKUP(A201,Questions!B:G,5,FALSE),"N/A")))</f>
        <v>Describe the currently implemented host-based IDS solution(s).</v>
      </c>
      <c r="F201" s="151" t="str">
        <f>VLOOKUP(A201,'Analyst Report'!$A$39:$E$288,5,FALSE)</f>
        <v xml:space="preserve"> </v>
      </c>
      <c r="G201"/>
    </row>
    <row r="202" spans="1:7" ht="48" customHeight="1">
      <c r="A202" s="10" t="s">
        <v>395</v>
      </c>
      <c r="B202" s="21" t="str">
        <f>VLOOKUP(A202,Questions!$B$3:$C$256,2,FALSE)</f>
        <v>Do you employ host-based intrusion prevention?</v>
      </c>
      <c r="C202" s="8" t="s">
        <v>102</v>
      </c>
      <c r="D202" s="9" t="s">
        <v>393</v>
      </c>
      <c r="E202" s="147" t="str">
        <f>IF((C202=""),VLOOKUP(A202,Questions!B:G,4,FALSE),IF(C202="Yes",VLOOKUP(A202,Questions!B:G,6,FALSE),IF(C202="No",VLOOKUP(A202,Questions!B:G,5,FALSE),"N/A")))</f>
        <v>Describe the currently implemented host-based IPS solution(s).</v>
      </c>
      <c r="F202" s="151" t="str">
        <f>VLOOKUP(A202,'Analyst Report'!$A$39:$E$288,5,FALSE)</f>
        <v xml:space="preserve"> </v>
      </c>
      <c r="G202"/>
    </row>
    <row r="203" spans="1:7" ht="48" customHeight="1">
      <c r="A203" s="10" t="s">
        <v>396</v>
      </c>
      <c r="B203" s="21" t="str">
        <f>VLOOKUP(A203,Questions!$B$3:$C$256,2,FALSE)</f>
        <v>Are you employing any next-generation persistent threat (NGPT) monitoring?</v>
      </c>
      <c r="C203" s="8" t="s">
        <v>102</v>
      </c>
      <c r="D203" s="9" t="s">
        <v>397</v>
      </c>
      <c r="E203" s="147" t="str">
        <f>IF((C203=""),VLOOKUP(A203,Questions!B:G,4,FALSE),IF(C203="Yes",VLOOKUP(A203,Questions!B:G,6,FALSE),IF(C203="No",VLOOKUP(A203,Questions!B:G,5,FALSE),"N/A")))</f>
        <v>Describe your NGPT monitoring strategy.</v>
      </c>
      <c r="F203" s="151" t="str">
        <f>VLOOKUP(A203,'Analyst Report'!$A$39:$E$288,5,FALSE)</f>
        <v xml:space="preserve"> </v>
      </c>
      <c r="G203"/>
    </row>
    <row r="204" spans="1:7" ht="48" customHeight="1">
      <c r="A204" s="10" t="s">
        <v>398</v>
      </c>
      <c r="B204" s="21" t="str">
        <f>VLOOKUP(A204,Questions!$B$3:$C$256,2,FALSE)</f>
        <v>Do you monitor for intrusions on a 24 x 7 x 365 basis?</v>
      </c>
      <c r="C204" s="8" t="s">
        <v>102</v>
      </c>
      <c r="D204" s="26" t="s">
        <v>399</v>
      </c>
      <c r="E204" s="147" t="str">
        <f>IF((C204=""),VLOOKUP(A204,Questions!B:G,4,FALSE),IF(C204="Yes",VLOOKUP(A204,Questions!B:G,6,FALSE),IF(C204="No",VLOOKUP(A204,Questions!B:G,5,FALSE),"N/A")))</f>
        <v>Provide a brief summary of this activity.</v>
      </c>
      <c r="F204" s="151" t="str">
        <f>VLOOKUP(A204,'Analyst Report'!$A$39:$E$288,5,FALSE)</f>
        <v xml:space="preserve"> </v>
      </c>
      <c r="G204"/>
    </row>
    <row r="205" spans="1:7" ht="48" customHeight="1">
      <c r="A205" s="10" t="s">
        <v>400</v>
      </c>
      <c r="B205" s="21" t="str">
        <f>VLOOKUP(A205,Questions!$B$3:$C$256,2,FALSE)</f>
        <v>Is intrusion monitoring performed internally or by a third-party service?</v>
      </c>
      <c r="C205" s="8" t="s">
        <v>102</v>
      </c>
      <c r="D205" s="9" t="s">
        <v>401</v>
      </c>
      <c r="E205" s="147">
        <f>IF((C205=""),VLOOKUP(A205,Questions!B:G,4,FALSE),IF(C205="Yes",VLOOKUP(A205,Questions!B:G,6,FALSE),IF(C205="No",VLOOKUP(A205,Questions!B:G,5,FALSE),"N/A")))</f>
        <v>0</v>
      </c>
      <c r="F205" s="151" t="str">
        <f>VLOOKUP(A205,'Analyst Report'!$A$39:$E$288,5,FALSE)</f>
        <v xml:space="preserve"> </v>
      </c>
      <c r="G205"/>
    </row>
    <row r="206" spans="1:7" ht="48" customHeight="1">
      <c r="A206" s="10" t="s">
        <v>402</v>
      </c>
      <c r="B206" s="21" t="str">
        <f>VLOOKUP(A206,Questions!$B$3:$C$256,2,FALSE)</f>
        <v>Are audit logs available for all changes to the network, firewall, IDS, and IPS systems?</v>
      </c>
      <c r="C206" s="8" t="s">
        <v>102</v>
      </c>
      <c r="D206" s="9" t="s">
        <v>403</v>
      </c>
      <c r="E206" s="147" t="str">
        <f>IF((C206=""),VLOOKUP(A206,Questions!B:G,4,FALSE),IF(C206="Yes",VLOOKUP(A206,Questions!B:G,6,FALSE),IF(C206="No",VLOOKUP(A206,Questions!B:G,5,FALSE),"N/A")))</f>
        <v>Describe your current network systems logging strategy.</v>
      </c>
      <c r="F206" s="151" t="str">
        <f>VLOOKUP(A206,'Analyst Report'!$A$39:$E$288,5,FALSE)</f>
        <v xml:space="preserve"> </v>
      </c>
      <c r="G206" s="239" t="s">
        <v>91</v>
      </c>
    </row>
    <row r="207" spans="1:7" ht="36" customHeight="1">
      <c r="A207" s="283" t="s">
        <v>404</v>
      </c>
      <c r="B207" s="283"/>
      <c r="C207" s="18" t="s">
        <v>94</v>
      </c>
      <c r="D207" s="18" t="s">
        <v>95</v>
      </c>
      <c r="E207" s="146" t="s">
        <v>96</v>
      </c>
      <c r="F207" s="150" t="s">
        <v>97</v>
      </c>
      <c r="G207"/>
    </row>
    <row r="208" spans="1:7" ht="83.25" customHeight="1">
      <c r="A208" s="10" t="s">
        <v>405</v>
      </c>
      <c r="B208" s="21" t="str">
        <f>VLOOKUP(A208,Questions!$B$3:$C$256,2,FALSE)</f>
        <v>Can you share the organization chart, mission statement, and policies for your information security unit?</v>
      </c>
      <c r="C208" s="8" t="s">
        <v>102</v>
      </c>
      <c r="D208" s="258" t="s">
        <v>406</v>
      </c>
      <c r="E208" s="147" t="str">
        <f>IF((C208=""),VLOOKUP(A208,Questions!B:G,4,FALSE),IF(C208="Yes",VLOOKUP(A208,Questions!B:G,6,FALSE),IF(C208="No",VLOOKUP(A208,Questions!B:G,5,FALSE),"N/A")))</f>
        <v>Provide links to these documents in Additional Information or attach them with your submission.</v>
      </c>
      <c r="F208" s="151" t="str">
        <f>VLOOKUP(A208,'Analyst Report'!$A$39:$E$288,5,FALSE)</f>
        <v xml:space="preserve"> </v>
      </c>
      <c r="G208"/>
    </row>
    <row r="209" spans="1:7" ht="48" customHeight="1">
      <c r="A209" s="10" t="s">
        <v>407</v>
      </c>
      <c r="B209" s="21" t="str">
        <f>VLOOKUP(A209,Questions!$B$3:$C$256,2,FALSE)</f>
        <v>Do you have a documented patch management process?</v>
      </c>
      <c r="C209" s="8" t="s">
        <v>102</v>
      </c>
      <c r="D209" s="9" t="s">
        <v>408</v>
      </c>
      <c r="E209" s="147">
        <f>IF((C209=""),VLOOKUP(A209,Questions!B:G,4,FALSE),IF(C209="Yes",VLOOKUP(A209,Questions!B:G,6,FALSE),IF(C209="No",VLOOKUP(A209,Questions!B:G,5,FALSE),"N/A")))</f>
        <v>0</v>
      </c>
      <c r="F209" s="151" t="str">
        <f>VLOOKUP(A209,'Analyst Report'!$A$39:$E$288,5,FALSE)</f>
        <v xml:space="preserve"> </v>
      </c>
      <c r="G209"/>
    </row>
    <row r="210" spans="1:7" ht="48" customHeight="1">
      <c r="A210" s="10" t="s">
        <v>409</v>
      </c>
      <c r="B210" s="21" t="str">
        <f>VLOOKUP(A210,Questions!$B$3:$C$256,2,FALSE)</f>
        <v>Can you accommodate encryption requirements using open standards?</v>
      </c>
      <c r="C210" s="8" t="s">
        <v>102</v>
      </c>
      <c r="D210" s="9"/>
      <c r="E210" s="147">
        <f>IF((C210=""),VLOOKUP(A210,Questions!B:G,4,FALSE),IF(C210="Yes",VLOOKUP(A210,Questions!B:G,6,FALSE),IF(C210="No",VLOOKUP(A210,Questions!B:G,5,FALSE),"N/A")))</f>
        <v>0</v>
      </c>
      <c r="F210" s="151" t="str">
        <f>VLOOKUP(A210,'Analyst Report'!$A$39:$E$288,5,FALSE)</f>
        <v xml:space="preserve"> </v>
      </c>
      <c r="G210"/>
    </row>
    <row r="211" spans="1:7" ht="48" customHeight="1">
      <c r="A211" s="10" t="s">
        <v>410</v>
      </c>
      <c r="B211" s="21" t="str">
        <f>VLOOKUP(A211,Questions!$B$3:$C$256,2,FALSE)</f>
        <v>Are information security principles designed into the product lifecycle?</v>
      </c>
      <c r="C211" s="8" t="s">
        <v>102</v>
      </c>
      <c r="D211" s="258" t="s">
        <v>411</v>
      </c>
      <c r="E211" s="147" t="str">
        <f>IF((C211=""),VLOOKUP(A211,Questions!B:G,4,FALSE),IF(C211="Yes",VLOOKUP(A211,Questions!B:G,6,FALSE),IF(C211="No",VLOOKUP(A211,Questions!B:G,5,FALSE),"N/A")))</f>
        <v>Summarize the information security principles designed into the product lifecycle.</v>
      </c>
      <c r="F211" s="151" t="str">
        <f>VLOOKUP(A211,'Analyst Report'!$A$39:$E$288,5,FALSE)</f>
        <v xml:space="preserve"> </v>
      </c>
      <c r="G211"/>
    </row>
    <row r="212" spans="1:7" ht="48" customHeight="1">
      <c r="A212" s="10" t="s">
        <v>412</v>
      </c>
      <c r="B212" s="21" t="str">
        <f>VLOOKUP(A212,Questions!$B$3:$C$256,2,FALSE)</f>
        <v>Do you have a documented systems development life cycle (SDLC)?</v>
      </c>
      <c r="C212" s="8" t="s">
        <v>102</v>
      </c>
      <c r="D212" s="258" t="s">
        <v>411</v>
      </c>
      <c r="E212" s="147" t="str">
        <f>IF((C212=""),VLOOKUP(A212,Questions!B:G,4,FALSE),IF(C212="Yes",VLOOKUP(A212,Questions!B:G,6,FALSE),IF(C212="No",VLOOKUP(A212,Questions!B:G,5,FALSE),"N/A")))</f>
        <v>Briefly summarize your SDLC or provide a link or attachment.</v>
      </c>
      <c r="F212" s="151" t="str">
        <f>VLOOKUP(A212,'Analyst Report'!$A$39:$E$288,5,FALSE)</f>
        <v xml:space="preserve"> </v>
      </c>
      <c r="G212"/>
    </row>
    <row r="213" spans="1:7" ht="48" customHeight="1">
      <c r="A213" s="10" t="s">
        <v>413</v>
      </c>
      <c r="B213" s="21" t="str">
        <f>VLOOKUP(A213,Questions!$B$3:$C$256,2,FALSE)</f>
        <v>Will you comply with applicable breach notification laws?</v>
      </c>
      <c r="C213" s="8" t="s">
        <v>102</v>
      </c>
      <c r="D213" s="9" t="s">
        <v>414</v>
      </c>
      <c r="E213" s="147" t="str">
        <f>IF((C213=""),VLOOKUP(A213,Questions!B:G,4,FALSE),IF(C213="Yes",VLOOKUP(A213,Questions!B:G,6,FALSE),IF(C213="No",VLOOKUP(A213,Questions!B:G,5,FALSE),"N/A")))</f>
        <v>State how quickly the institution will be notified of a data breach or security incident.</v>
      </c>
      <c r="F213" s="151" t="str">
        <f>VLOOKUP(A213,'Analyst Report'!$A$39:$E$288,5,FALSE)</f>
        <v xml:space="preserve"> </v>
      </c>
      <c r="G213"/>
    </row>
    <row r="214" spans="1:7" ht="84" customHeight="1">
      <c r="A214" s="10" t="s">
        <v>415</v>
      </c>
      <c r="B214" s="21" t="str">
        <f>VLOOKUP(A214,Questions!$B$3:$C$256,2,FALSE)</f>
        <v>Will you comply with the institution's IT policies with regards to user privacy and data protection?</v>
      </c>
      <c r="C214" s="8" t="s">
        <v>102</v>
      </c>
      <c r="D214" s="9" t="s">
        <v>416</v>
      </c>
      <c r="E214" s="147" t="str">
        <f>IF((C214=""),VLOOKUP(A214,Questions!B:G,4,FALSE),IF(C214="Yes",VLOOKUP(A214,Questions!B:G,6,FALSE),IF(C214="No",VLOOKUP(A214,Questions!B:G,5,FALSE),"N/A")))</f>
        <v>State that you have reviewed the institution's IT policies with regards to user privacy and data protection.</v>
      </c>
      <c r="F214" s="151" t="str">
        <f>VLOOKUP(A214,'Analyst Report'!$A$39:$E$288,5,FALSE)</f>
        <v xml:space="preserve"> </v>
      </c>
      <c r="G214"/>
    </row>
    <row r="215" spans="1:7" ht="48" customHeight="1">
      <c r="A215" s="10" t="s">
        <v>417</v>
      </c>
      <c r="B215" s="21" t="str">
        <f>VLOOKUP(A215,Questions!$B$3:$C$256,2,FALSE)</f>
        <v>Is your company subject to institution's geographic region's laws and regulations?</v>
      </c>
      <c r="C215" s="8" t="s">
        <v>102</v>
      </c>
      <c r="D215" s="9" t="s">
        <v>418</v>
      </c>
      <c r="E215" s="147">
        <f>IF((C215=""),VLOOKUP(A215,Questions!B:G,4,FALSE),IF(C215="Yes",VLOOKUP(A215,Questions!B:G,6,FALSE),IF(C215="No",VLOOKUP(A215,Questions!B:G,5,FALSE),"N/A")))</f>
        <v>0</v>
      </c>
      <c r="F215" s="151" t="str">
        <f>VLOOKUP(A215,'Analyst Report'!$A$39:$E$288,5,FALSE)</f>
        <v xml:space="preserve"> </v>
      </c>
      <c r="G215"/>
    </row>
    <row r="216" spans="1:7" ht="96" customHeight="1">
      <c r="A216" s="10" t="s">
        <v>419</v>
      </c>
      <c r="B216" s="21" t="str">
        <f>VLOOKUP(A216,Questions!$B$3:$C$256,2,FALSE)</f>
        <v>Do you perform background screenings or multi-state background checks on all employees prior to their first day of work?</v>
      </c>
      <c r="C216" s="8" t="s">
        <v>102</v>
      </c>
      <c r="D216" s="9" t="s">
        <v>420</v>
      </c>
      <c r="E216" s="147" t="str">
        <f>IF((C216=""),VLOOKUP(A216,Questions!B:G,4,FALSE),IF(C216="Yes",VLOOKUP(A216,Questions!B:G,6,FALSE),IF(C216="No",VLOOKUP(A216,Questions!B:G,5,FALSE),"N/A")))</f>
        <v>Summarize your background check practices.</v>
      </c>
      <c r="F216" s="151" t="str">
        <f>VLOOKUP(A216,'Analyst Report'!$A$39:$E$288,5,FALSE)</f>
        <v xml:space="preserve"> </v>
      </c>
      <c r="G216"/>
    </row>
    <row r="217" spans="1:7" ht="48" customHeight="1">
      <c r="A217" s="10" t="s">
        <v>421</v>
      </c>
      <c r="B217" s="21" t="str">
        <f>VLOOKUP(A217,Questions!$B$3:$C$256,2,FALSE)</f>
        <v>Do you require new employees to fill out agreements and review policies?</v>
      </c>
      <c r="C217" s="8" t="s">
        <v>102</v>
      </c>
      <c r="D217" s="9" t="s">
        <v>422</v>
      </c>
      <c r="E217" s="147" t="str">
        <f>IF((C217=""),VLOOKUP(A217,Questions!B:G,4,FALSE),IF(C217="Yes",VLOOKUP(A217,Questions!B:G,6,FALSE),IF(C217="No",VLOOKUP(A217,Questions!B:G,5,FALSE),"N/A")))</f>
        <v>Summarize the required agreements and reviewed policies.</v>
      </c>
      <c r="F217" s="151" t="str">
        <f>VLOOKUP(A217,'Analyst Report'!$A$39:$E$288,5,FALSE)</f>
        <v xml:space="preserve"> </v>
      </c>
      <c r="G217"/>
    </row>
    <row r="218" spans="1:7" ht="48" customHeight="1">
      <c r="A218" s="10" t="s">
        <v>423</v>
      </c>
      <c r="B218" s="21" t="str">
        <f>VLOOKUP(A218,Questions!$B$3:$C$256,2,FALSE)</f>
        <v>Do you have a documented information security policy?</v>
      </c>
      <c r="C218" s="8" t="s">
        <v>102</v>
      </c>
      <c r="D218" s="9" t="s">
        <v>424</v>
      </c>
      <c r="E218" s="147" t="str">
        <f>IF((C218=""),VLOOKUP(A218,Questions!B:G,4,FALSE),IF(C218="Yes",VLOOKUP(A218,Questions!B:G,6,FALSE),IF(C218="No",VLOOKUP(A218,Questions!B:G,5,FALSE),"N/A")))</f>
        <v>Provide a reference to your information security policy or submit documentation with this fully populated HECVAT.</v>
      </c>
      <c r="F218" s="151" t="str">
        <f>VLOOKUP(A218,'Analyst Report'!$A$39:$E$288,5,FALSE)</f>
        <v xml:space="preserve"> </v>
      </c>
      <c r="G218"/>
    </row>
    <row r="219" spans="1:7" ht="48" customHeight="1">
      <c r="A219" s="10" t="s">
        <v>425</v>
      </c>
      <c r="B219" s="21" t="str">
        <f>VLOOKUP(A219,Questions!$B$3:$C$256,2,FALSE)</f>
        <v>Do you have an information security awareness program?</v>
      </c>
      <c r="C219" s="8" t="s">
        <v>102</v>
      </c>
      <c r="D219" s="9" t="s">
        <v>426</v>
      </c>
      <c r="E219" s="147" t="str">
        <f>IF((C219=""),VLOOKUP(A219,Questions!B:G,4,FALSE),IF(C219="Yes",VLOOKUP(A219,Questions!B:G,6,FALSE),IF(C219="No",VLOOKUP(A219,Questions!B:G,5,FALSE),"N/A")))</f>
        <v>Summarize your information security awareness program.</v>
      </c>
      <c r="F219" s="151" t="str">
        <f>VLOOKUP(A219,'Analyst Report'!$A$39:$E$288,5,FALSE)</f>
        <v xml:space="preserve"> </v>
      </c>
      <c r="G219"/>
    </row>
    <row r="220" spans="1:7" ht="48" customHeight="1">
      <c r="A220" s="10" t="s">
        <v>427</v>
      </c>
      <c r="B220" s="21" t="str">
        <f>VLOOKUP(A220,Questions!$B$3:$C$256,2,FALSE)</f>
        <v>Is security awareness training mandatory for all employees?</v>
      </c>
      <c r="C220" s="8" t="s">
        <v>102</v>
      </c>
      <c r="D220" s="9" t="s">
        <v>428</v>
      </c>
      <c r="E220" s="147" t="str">
        <f>IF((C220=""),VLOOKUP(A220,Questions!B:G,4,FALSE),IF(C220="Yes",VLOOKUP(A220,Questions!B:G,6,FALSE),IF(C220="No",VLOOKUP(A220,Questions!B:G,5,FALSE),"N/A")))</f>
        <v>Summarize your security awareness training content and state how frequently employees are required to undergo security awareness training.</v>
      </c>
      <c r="F220" s="151" t="str">
        <f>VLOOKUP(A220,'Analyst Report'!$A$39:$E$288,5,FALSE)</f>
        <v xml:space="preserve"> </v>
      </c>
      <c r="G220"/>
    </row>
    <row r="221" spans="1:7" ht="48" customHeight="1">
      <c r="A221" s="10" t="s">
        <v>429</v>
      </c>
      <c r="B221" s="21" t="str">
        <f>VLOOKUP(A221,Questions!$B$3:$C$256,2,FALSE)</f>
        <v>Do you have process and procedure(s) documented, and currently followed, that require a review and update of the access list(s) for privileged accounts?</v>
      </c>
      <c r="C221" s="8" t="s">
        <v>102</v>
      </c>
      <c r="D221" s="9" t="s">
        <v>430</v>
      </c>
      <c r="E221" s="147" t="str">
        <f>IF((C221=""),VLOOKUP(A221,Questions!B:G,4,FALSE),IF(C221="Yes",VLOOKUP(A221,Questions!B:G,6,FALSE),IF(C221="No",VLOOKUP(A221,Questions!B:G,5,FALSE),"N/A")))</f>
        <v>Provide a brief summary and the implement review interval.</v>
      </c>
      <c r="F221" s="151" t="str">
        <f>VLOOKUP(A221,'Analyst Report'!$A$39:$E$288,5,FALSE)</f>
        <v xml:space="preserve"> </v>
      </c>
      <c r="G221"/>
    </row>
    <row r="222" spans="1:7" ht="65.25" customHeight="1">
      <c r="A222" s="10" t="s">
        <v>431</v>
      </c>
      <c r="B222" s="21" t="str">
        <f>VLOOKUP(A222,Questions!$B$3:$C$256,2,FALSE)</f>
        <v>Do you have documented, and currently implemented, internal audit processes and procedures?</v>
      </c>
      <c r="C222" s="8" t="s">
        <v>102</v>
      </c>
      <c r="D222" s="9" t="s">
        <v>432</v>
      </c>
      <c r="E222" s="147" t="str">
        <f>IF((C222=""),VLOOKUP(A222,Questions!B:G,4,FALSE),IF(C222="Yes",VLOOKUP(A222,Questions!B:G,6,FALSE),IF(C222="No",VLOOKUP(A222,Questions!B:G,5,FALSE),"N/A")))</f>
        <v>Summarize your internal audit processes and procedures.</v>
      </c>
      <c r="F222" s="151" t="str">
        <f>VLOOKUP(A222,'Analyst Report'!$A$39:$E$288,5,FALSE)</f>
        <v xml:space="preserve"> </v>
      </c>
      <c r="G222"/>
    </row>
    <row r="223" spans="1:7" ht="48" customHeight="1">
      <c r="A223" s="10" t="s">
        <v>433</v>
      </c>
      <c r="B223" s="21" t="str">
        <f>VLOOKUP(A223,Questions!$B$3:$C$256,2,FALSE)</f>
        <v>Does your organization have physical security controls and policies in place?</v>
      </c>
      <c r="C223" s="8" t="s">
        <v>102</v>
      </c>
      <c r="D223" s="9" t="s">
        <v>351</v>
      </c>
      <c r="E223" s="147" t="str">
        <f>IF((C223=""),VLOOKUP(A223,Questions!B:G,4,FALSE),IF(C223="Yes",VLOOKUP(A223,Questions!B:G,6,FALSE),IF(C223="No",VLOOKUP(A223,Questions!B:G,5,FALSE),"N/A")))</f>
        <v>Provide a copy of your physical security controls and policies along with this document (link or attached).</v>
      </c>
      <c r="F223" s="151" t="str">
        <f>VLOOKUP(A223,'Analyst Report'!$A$39:$E$288,5,FALSE)</f>
        <v xml:space="preserve"> </v>
      </c>
      <c r="G223" s="239" t="s">
        <v>91</v>
      </c>
    </row>
    <row r="224" spans="1:7" ht="36" customHeight="1">
      <c r="A224" s="283" t="s">
        <v>434</v>
      </c>
      <c r="B224" s="283"/>
      <c r="C224" s="18" t="s">
        <v>94</v>
      </c>
      <c r="D224" s="18" t="s">
        <v>95</v>
      </c>
      <c r="E224" s="146" t="s">
        <v>96</v>
      </c>
      <c r="F224" s="150" t="s">
        <v>97</v>
      </c>
      <c r="G224"/>
    </row>
    <row r="225" spans="1:7" ht="48" customHeight="1">
      <c r="A225" s="10" t="s">
        <v>435</v>
      </c>
      <c r="B225" s="21" t="str">
        <f>VLOOKUP(A225,Questions!$B$3:$C$256,2,FALSE)</f>
        <v>Do you have a formal incident response plan?</v>
      </c>
      <c r="C225" s="8" t="s">
        <v>102</v>
      </c>
      <c r="D225" s="258" t="s">
        <v>436</v>
      </c>
      <c r="E225" s="147" t="str">
        <f>IF((C225=""),VLOOKUP(A225,Questions!B:G,4,FALSE),IF(C225="Yes",VLOOKUP(A225,Questions!B:G,6,FALSE),IF(C225="No",VLOOKUP(A225,Questions!B:G,5,FALSE),"N/A")))</f>
        <v>Summarize or provide a link to your formal incident response plan.</v>
      </c>
      <c r="F225" s="151" t="str">
        <f>VLOOKUP(A225,'Analyst Report'!$A$39:$E$288,5,FALSE)</f>
        <v xml:space="preserve"> </v>
      </c>
      <c r="G225"/>
    </row>
    <row r="226" spans="1:7" ht="48" customHeight="1">
      <c r="A226" s="10" t="s">
        <v>437</v>
      </c>
      <c r="B226" s="21" t="str">
        <f>VLOOKUP(A226,Questions!$B$3:$C$256,2,FALSE)</f>
        <v>Do you either have an internal incident response team or retain an external team?</v>
      </c>
      <c r="C226" s="8" t="s">
        <v>102</v>
      </c>
      <c r="D226" s="258" t="s">
        <v>436</v>
      </c>
      <c r="E226" s="147" t="str">
        <f>IF((C226=""),VLOOKUP(A226,Questions!B:G,4,FALSE),IF(C226="Yes",VLOOKUP(A226,Questions!B:G,6,FALSE),IF(C226="No",VLOOKUP(A226,Questions!B:G,5,FALSE),"N/A")))</f>
        <v>Summarize your incident response and reporting processes.</v>
      </c>
      <c r="F226" s="151" t="str">
        <f>VLOOKUP(A226,'Analyst Report'!$A$39:$E$288,5,FALSE)</f>
        <v xml:space="preserve"> </v>
      </c>
      <c r="G226"/>
    </row>
    <row r="227" spans="1:7" ht="48" customHeight="1">
      <c r="A227" s="10" t="s">
        <v>438</v>
      </c>
      <c r="B227" s="21" t="str">
        <f>VLOOKUP(A227,Questions!$B$3:$C$256,2,FALSE)</f>
        <v>Do you have the capability to respond to incidents on a 24 x 7 x 365 basis?</v>
      </c>
      <c r="C227" s="8" t="s">
        <v>102</v>
      </c>
      <c r="D227" s="258" t="s">
        <v>439</v>
      </c>
      <c r="E227" s="147" t="str">
        <f>IF((C227=""),VLOOKUP(A227,Questions!B:G,4,FALSE),IF(C227="Yes",VLOOKUP(A227,Questions!B:G,6,FALSE),IF(C227="No",VLOOKUP(A227,Questions!B:G,5,FALSE),"N/A")))</f>
        <v>Summarize your internal approach or reference your third-party contractor.</v>
      </c>
      <c r="F227" s="151" t="str">
        <f>VLOOKUP(A227,'Analyst Report'!$A$39:$E$288,5,FALSE)</f>
        <v xml:space="preserve"> </v>
      </c>
      <c r="G227"/>
    </row>
    <row r="228" spans="1:7" ht="48" customHeight="1">
      <c r="A228" s="10" t="s">
        <v>440</v>
      </c>
      <c r="B228" s="21" t="str">
        <f>VLOOKUP(A228,Questions!$B$3:$C$256,2,FALSE)</f>
        <v>Do you carry cyber-risk insurance to protect against unforeseen service outages, data that is lost or stolen, and security incidents?</v>
      </c>
      <c r="C228" s="8" t="s">
        <v>102</v>
      </c>
      <c r="D228" s="259" t="s">
        <v>441</v>
      </c>
      <c r="E228" s="147" t="str">
        <f>IF((C228=""),VLOOKUP(A228,Questions!B:G,4,FALSE),IF(C228="Yes",VLOOKUP(A228,Questions!B:G,6,FALSE),IF(C228="No",VLOOKUP(A228,Questions!B:G,5,FALSE),"N/A")))</f>
        <v>Describe the coverage in place for this product.</v>
      </c>
      <c r="F228" s="151" t="str">
        <f>VLOOKUP(A228,'Analyst Report'!$A$39:$E$288,5,FALSE)</f>
        <v xml:space="preserve"> </v>
      </c>
      <c r="G228" s="239" t="s">
        <v>91</v>
      </c>
    </row>
    <row r="229" spans="1:7" ht="36" customHeight="1">
      <c r="A229" s="283" t="s">
        <v>442</v>
      </c>
      <c r="B229" s="283"/>
      <c r="C229" s="18" t="s">
        <v>94</v>
      </c>
      <c r="D229" s="18" t="s">
        <v>95</v>
      </c>
      <c r="E229" s="146" t="s">
        <v>96</v>
      </c>
      <c r="F229" s="150" t="s">
        <v>97</v>
      </c>
      <c r="G229"/>
    </row>
    <row r="230" spans="1:7" ht="48" customHeight="1">
      <c r="A230" s="10" t="s">
        <v>443</v>
      </c>
      <c r="B230" s="21" t="str">
        <f>VLOOKUP(A230,Questions!$B$3:$C$256,2,FALSE)</f>
        <v>Do you have a documented and currently implemented Quality Assurance program?</v>
      </c>
      <c r="C230" s="8" t="s">
        <v>102</v>
      </c>
      <c r="D230" s="9" t="s">
        <v>444</v>
      </c>
      <c r="E230" s="147">
        <f>IF((C230=""),VLOOKUP(A230,Questions!B:G,4,FALSE),IF(C230="Yes",VLOOKUP(A230,Questions!B:G,6,FALSE),IF(C230="No",VLOOKUP(A230,Questions!B:G,5,FALSE),"N/A")))</f>
        <v>0</v>
      </c>
      <c r="F230" s="151" t="str">
        <f>VLOOKUP(A230,'Analyst Report'!$A$39:$E$288,5,FALSE)</f>
        <v xml:space="preserve"> </v>
      </c>
      <c r="G230"/>
    </row>
    <row r="231" spans="1:7" ht="48" customHeight="1">
      <c r="A231" s="10" t="s">
        <v>445</v>
      </c>
      <c r="B231" s="21" t="str">
        <f>VLOOKUP(A231,Questions!$B$3:$C$256,2,FALSE)</f>
        <v>Do you comply with ISO 9001?</v>
      </c>
      <c r="C231" s="8" t="s">
        <v>100</v>
      </c>
      <c r="D231" s="9" t="s">
        <v>446</v>
      </c>
      <c r="E231" s="147" t="str">
        <f>IF((C231=""),VLOOKUP(A231,Questions!B:G,4,FALSE),IF(C231="Yes",VLOOKUP(A231,Questions!B:G,6,FALSE),IF(C231="No",VLOOKUP(A231,Questions!B:G,5,FALSE),"N/A")))</f>
        <v>Describe plans and/or efforts towards certification.</v>
      </c>
      <c r="F231" s="151" t="str">
        <f>VLOOKUP(A231,'Analyst Report'!$A$39:$E$288,5,FALSE)</f>
        <v xml:space="preserve"> </v>
      </c>
      <c r="G231"/>
    </row>
    <row r="232" spans="1:7" ht="53.25" customHeight="1">
      <c r="A232" s="10" t="s">
        <v>447</v>
      </c>
      <c r="B232" s="21" t="str">
        <f>VLOOKUP(A232,Questions!$B$3:$C$256,2,FALSE)</f>
        <v>Will your company provide quality and performance metrics in relation to the scope of services and performance expectations for the services you are offering?</v>
      </c>
      <c r="C232" s="8" t="s">
        <v>102</v>
      </c>
      <c r="D232" s="9" t="s">
        <v>448</v>
      </c>
      <c r="E232" s="147" t="str">
        <f>IF((C232=""),VLOOKUP(A232,Questions!B:G,4,FALSE),IF(C232="Yes",VLOOKUP(A232,Questions!B:G,6,FALSE),IF(C232="No",VLOOKUP(A232,Questions!B:G,5,FALSE),"N/A")))</f>
        <v>Provide references to quality and performance metrics documentation.</v>
      </c>
      <c r="F232" s="151" t="str">
        <f>VLOOKUP(A232,'Analyst Report'!$A$39:$E$288,5,FALSE)</f>
        <v xml:space="preserve"> </v>
      </c>
      <c r="G232"/>
    </row>
    <row r="233" spans="1:7" ht="53.25" customHeight="1">
      <c r="A233" s="10" t="s">
        <v>449</v>
      </c>
      <c r="B233" s="21" t="str">
        <f>VLOOKUP(A233,Questions!$B$3:$C$256,2,FALSE)</f>
        <v>Do you incorporate customer feedback into security feature requests?</v>
      </c>
      <c r="C233" s="8" t="s">
        <v>102</v>
      </c>
      <c r="D233" s="9" t="s">
        <v>450</v>
      </c>
      <c r="E233" s="147" t="str">
        <f>IF((C233=""),VLOOKUP(A233,Questions!B:G,4,FALSE),IF(C233="Yes",VLOOKUP(A233,Questions!B:G,6,FALSE),IF(C233="No",VLOOKUP(A233,Questions!B:G,5,FALSE),"N/A")))</f>
        <v>Provide a list of higher education references or a route for campuses to request references</v>
      </c>
      <c r="F233" s="151" t="str">
        <f>VLOOKUP(A233,'Analyst Report'!$A$39:$E$288,5,FALSE)</f>
        <v xml:space="preserve"> </v>
      </c>
      <c r="G233"/>
    </row>
    <row r="234" spans="1:7" ht="48" customHeight="1">
      <c r="A234" s="10" t="s">
        <v>451</v>
      </c>
      <c r="B234" s="21" t="str">
        <f>VLOOKUP(A234,Questions!$B$3:$C$256,2,FALSE)</f>
        <v>Can you provide an evaluation site to the institution for testing?</v>
      </c>
      <c r="C234" s="8" t="s">
        <v>102</v>
      </c>
      <c r="D234" s="9" t="s">
        <v>452</v>
      </c>
      <c r="E234" s="147" t="str">
        <f>IF((C234=""),VLOOKUP(A234,Questions!B:G,4,FALSE),IF(C234="Yes",VLOOKUP(A234,Questions!B:G,6,FALSE),IF(C234="No",VLOOKUP(A234,Questions!B:G,5,FALSE),"N/A")))</f>
        <v>Summarize your evaluation site or provide a link.</v>
      </c>
      <c r="F234" s="151" t="str">
        <f>VLOOKUP(A234,'Analyst Report'!$A$39:$E$288,5,FALSE)</f>
        <v xml:space="preserve"> </v>
      </c>
      <c r="G234" s="239" t="s">
        <v>91</v>
      </c>
    </row>
    <row r="235" spans="1:7" ht="36" customHeight="1">
      <c r="A235" s="283" t="s">
        <v>453</v>
      </c>
      <c r="B235" s="283"/>
      <c r="C235" s="18" t="s">
        <v>94</v>
      </c>
      <c r="D235" s="18" t="s">
        <v>95</v>
      </c>
      <c r="E235" s="146" t="s">
        <v>96</v>
      </c>
      <c r="F235" s="150" t="s">
        <v>97</v>
      </c>
      <c r="G235"/>
    </row>
    <row r="236" spans="1:7" ht="48" customHeight="1">
      <c r="A236" s="10" t="s">
        <v>454</v>
      </c>
      <c r="B236" s="21" t="str">
        <f>VLOOKUP(A236,Questions!$B$3:$C$256,2,FALSE)</f>
        <v>Are your systems and applications regularly scanned externally for vulnerabilities?</v>
      </c>
      <c r="C236" s="8" t="s">
        <v>102</v>
      </c>
      <c r="D236" s="9" t="s">
        <v>455</v>
      </c>
      <c r="E236" s="147" t="str">
        <f>IF((C236=""),VLOOKUP(A236,Questions!B:G,4,FALSE),IF(C236="Yes",VLOOKUP(A236,Questions!B:G,6,FALSE),IF(C236="No",VLOOKUP(A236,Questions!B:G,5,FALSE),"N/A")))</f>
        <v>Decribe your external application vulnerability scanning strategy.</v>
      </c>
      <c r="F236" s="151" t="str">
        <f>VLOOKUP(A236,'Analyst Report'!$A$39:$E$288,5,FALSE)</f>
        <v xml:space="preserve"> </v>
      </c>
      <c r="G236"/>
    </row>
    <row r="237" spans="1:7" ht="48" customHeight="1">
      <c r="A237" s="10" t="s">
        <v>456</v>
      </c>
      <c r="B237" s="21" t="str">
        <f>VLOOKUP(A237,Questions!$B$3:$C$256,2,FALSE)</f>
        <v>Have your systems and applications had a third-party security assessment completed in the last year?</v>
      </c>
      <c r="C237" s="8" t="s">
        <v>100</v>
      </c>
      <c r="D237" s="9" t="s">
        <v>457</v>
      </c>
      <c r="E237" s="147" t="str">
        <f>IF((C237=""),VLOOKUP(A237,Questions!B:G,4,FALSE),IF(C237="Yes",VLOOKUP(A237,Questions!B:G,6,FALSE),IF(C237="No",VLOOKUP(A237,Questions!B:G,5,FALSE),"N/A")))</f>
        <v>State plans to have your systems and applications assessed by a third party.</v>
      </c>
      <c r="F237" s="151" t="str">
        <f>VLOOKUP(A237,'Analyst Report'!$A$39:$E$288,5,FALSE)</f>
        <v xml:space="preserve"> </v>
      </c>
      <c r="G237"/>
    </row>
    <row r="238" spans="1:7" ht="65.25" customHeight="1">
      <c r="A238" s="10" t="s">
        <v>458</v>
      </c>
      <c r="B238" s="21" t="str">
        <f>VLOOKUP(A238,Questions!$B$3:$C$256,2,FALSE)</f>
        <v>Are your systems and applications scanned with an authenticated user account for vulnerabilities (that are remediated) prior to new releases?</v>
      </c>
      <c r="C238" s="8" t="s">
        <v>102</v>
      </c>
      <c r="D238" s="9" t="s">
        <v>459</v>
      </c>
      <c r="E238" s="147" t="str">
        <f>IF((C238=""),VLOOKUP(A238,Questions!B:G,4,FALSE),IF(C238="Yes",VLOOKUP(A238,Questions!B:G,6,FALSE),IF(C238="No",VLOOKUP(A238,Questions!B:G,5,FALSE),"N/A")))</f>
        <v>Provide a brief description.</v>
      </c>
      <c r="F238" s="151" t="str">
        <f>VLOOKUP(A238,'Analyst Report'!$A$39:$E$288,5,FALSE)</f>
        <v xml:space="preserve"> </v>
      </c>
      <c r="G238"/>
    </row>
    <row r="239" spans="1:7" ht="49.5" customHeight="1">
      <c r="A239" s="10" t="s">
        <v>460</v>
      </c>
      <c r="B239" s="21" t="str">
        <f>VLOOKUP(A239,Questions!$B$3:$C$256,2,FALSE)</f>
        <v>Will you provide results of application and system vulnerability scans to the institution?</v>
      </c>
      <c r="C239" s="8" t="s">
        <v>100</v>
      </c>
      <c r="D239" s="9" t="s">
        <v>461</v>
      </c>
      <c r="E239" s="147" t="str">
        <f>IF((C239=""),VLOOKUP(A239,Questions!B:G,4,FALSE),IF(C239="Yes",VLOOKUP(A239,Questions!B:G,6,FALSE),IF(C239="No",VLOOKUP(A239,Questions!B:G,5,FALSE),"N/A")))</f>
        <v>Describe why security scan results will not be provided to the institution.</v>
      </c>
      <c r="F239" s="151" t="str">
        <f>VLOOKUP(A239,'Analyst Report'!$A$39:$E$288,5,FALSE)</f>
        <v xml:space="preserve"> </v>
      </c>
      <c r="G239"/>
    </row>
    <row r="240" spans="1:7" ht="48" customHeight="1">
      <c r="A240" s="10" t="s">
        <v>462</v>
      </c>
      <c r="B240" s="21" t="str">
        <f>VLOOKUP(A240,Questions!$B$3:$C$256,2,FALSE)</f>
        <v>Describe or provide a reference to how you monitor for and protect against common web application security vulnerabilities (e.g., SQL injection, XSS, XSRF, etc.).</v>
      </c>
      <c r="C240" s="312" t="s">
        <v>463</v>
      </c>
      <c r="D240" s="312"/>
      <c r="E240" s="147" t="str">
        <f>IF((C240=""),VLOOKUP(A240,Questions!B:G,4,FALSE),IF(C240="Yes",VLOOKUP(A240,Questions!B:G,6,FALSE),IF(C240="No",VLOOKUP(A240,Questions!B:G,5,FALSE),"N/A")))</f>
        <v>N/A</v>
      </c>
      <c r="F240" s="151" t="str">
        <f>VLOOKUP(A240,'Analyst Report'!$A$39:$E$288,5,FALSE)</f>
        <v xml:space="preserve"> </v>
      </c>
      <c r="G240"/>
    </row>
    <row r="241" spans="1:7" ht="65.25" customHeight="1">
      <c r="A241" s="10" t="s">
        <v>464</v>
      </c>
      <c r="B241" s="21" t="str">
        <f>VLOOKUP(A241,Questions!$B$3:$C$256,2,FALSE)</f>
        <v>Will you allow the institution to perform its own vulnerability testing and/or scanning of your systems and/or application, provided that testing is performed at a mutually agreed upon time and date?</v>
      </c>
      <c r="C241" s="8" t="s">
        <v>100</v>
      </c>
      <c r="D241" s="9" t="s">
        <v>465</v>
      </c>
      <c r="E241" s="147" t="str">
        <f>IF((C241=""),VLOOKUP(A241,Questions!B:G,4,FALSE),IF(C241="Yes",VLOOKUP(A241,Questions!B:G,6,FALSE),IF(C241="No",VLOOKUP(A241,Questions!B:G,5,FALSE),"N/A")))</f>
        <v>Provide a brief summary for your response.</v>
      </c>
      <c r="F241" s="151" t="str">
        <f>VLOOKUP(A241,'Analyst Report'!$A$39:$E$288,5,FALSE)</f>
        <v xml:space="preserve"> </v>
      </c>
      <c r="G241" s="239" t="s">
        <v>91</v>
      </c>
    </row>
    <row r="242" spans="1:7" ht="36" customHeight="1">
      <c r="A242" s="283" t="str">
        <f>IF(OR($C$27="No",$C$27="Yes"),"HIPAA - Optional based on QUALIFIER response.","HIPAA")</f>
        <v>HIPAA - Optional based on QUALIFIER response.</v>
      </c>
      <c r="B242" s="283"/>
      <c r="C242" s="18" t="s">
        <v>94</v>
      </c>
      <c r="D242" s="18" t="s">
        <v>95</v>
      </c>
      <c r="E242" s="146" t="s">
        <v>96</v>
      </c>
      <c r="F242" s="150" t="s">
        <v>97</v>
      </c>
      <c r="G242"/>
    </row>
    <row r="243" spans="1:7" ht="65.25" customHeight="1">
      <c r="A243" s="10" t="s">
        <v>466</v>
      </c>
      <c r="B243" s="21" t="str">
        <f>VLOOKUP(A243,Questions!$B$3:$C$256,2,FALSE)</f>
        <v>Do your workforce members receive regular training related to the HIPAA Privacy and Security Rules and the HITECH Act?</v>
      </c>
      <c r="C243" s="8"/>
      <c r="D243" s="9"/>
      <c r="E243" s="148" t="s">
        <v>467</v>
      </c>
      <c r="F243" s="151" t="str">
        <f>VLOOKUP(A243,'Analyst Report'!$A$39:$E$288,5,FALSE)</f>
        <v xml:space="preserve"> </v>
      </c>
      <c r="G243"/>
    </row>
    <row r="244" spans="1:7" ht="48" customHeight="1">
      <c r="A244" s="10" t="s">
        <v>468</v>
      </c>
      <c r="B244" s="21" t="str">
        <f>VLOOKUP(A244,Questions!$B$3:$C$256,2,FALSE)</f>
        <v>Do you monitor or receive information regarding changes in HIPAA regulations?</v>
      </c>
      <c r="C244" s="8"/>
      <c r="D244" s="9"/>
      <c r="E244" s="148" t="s">
        <v>467</v>
      </c>
      <c r="F244" s="151" t="str">
        <f>VLOOKUP(A244,'Analyst Report'!$A$39:$E$288,5,FALSE)</f>
        <v xml:space="preserve"> </v>
      </c>
      <c r="G244"/>
    </row>
    <row r="245" spans="1:7" ht="48" customHeight="1">
      <c r="A245" s="10" t="s">
        <v>469</v>
      </c>
      <c r="B245" s="21" t="str">
        <f>VLOOKUP(A245,Questions!$B$3:$C$256,2,FALSE)</f>
        <v>Has your organization designated HIPAA Privacy and Security officers as required by the rules?</v>
      </c>
      <c r="C245" s="8"/>
      <c r="D245" s="9"/>
      <c r="E245" s="148" t="s">
        <v>467</v>
      </c>
      <c r="F245" s="151" t="str">
        <f>VLOOKUP(A245,'Analyst Report'!$A$39:$E$288,5,FALSE)</f>
        <v xml:space="preserve"> </v>
      </c>
      <c r="G245"/>
    </row>
    <row r="246" spans="1:7" ht="48" customHeight="1">
      <c r="A246" s="10" t="s">
        <v>470</v>
      </c>
      <c r="B246" s="21" t="str">
        <f>VLOOKUP(A246,Questions!$B$3:$C$256,2,FALSE)</f>
        <v>Do you comply with the requirements of the Health Information Technology for Economic and Clinical Health Act (HITECH)?</v>
      </c>
      <c r="C246" s="8"/>
      <c r="D246" s="9"/>
      <c r="E246" s="148" t="s">
        <v>467</v>
      </c>
      <c r="F246" s="151" t="str">
        <f>VLOOKUP(A246,'Analyst Report'!$A$39:$E$288,5,FALSE)</f>
        <v xml:space="preserve"> </v>
      </c>
      <c r="G246"/>
    </row>
    <row r="247" spans="1:7" ht="48" customHeight="1">
      <c r="A247" s="10" t="s">
        <v>471</v>
      </c>
      <c r="B247" s="21" t="str">
        <f>VLOOKUP(A247,Questions!$B$3:$C$256,2,FALSE)</f>
        <v>Have you conducted a risk analysis as required under the Security Rule?</v>
      </c>
      <c r="C247" s="8"/>
      <c r="D247" s="9"/>
      <c r="E247" s="148" t="s">
        <v>467</v>
      </c>
      <c r="F247" s="151" t="str">
        <f>VLOOKUP(A247,'Analyst Report'!$A$39:$E$288,5,FALSE)</f>
        <v xml:space="preserve"> </v>
      </c>
      <c r="G247"/>
    </row>
    <row r="248" spans="1:7" ht="48" customHeight="1">
      <c r="A248" s="10" t="s">
        <v>472</v>
      </c>
      <c r="B248" s="21" t="str">
        <f>VLOOKUP(A248,Questions!$B$3:$C$256,2,FALSE)</f>
        <v>Have you identified areas of risks?</v>
      </c>
      <c r="C248" s="8"/>
      <c r="D248" s="9"/>
      <c r="E248" s="148" t="s">
        <v>467</v>
      </c>
      <c r="F248" s="151" t="str">
        <f>VLOOKUP(A248,'Analyst Report'!$A$39:$E$288,5,FALSE)</f>
        <v xml:space="preserve"> </v>
      </c>
      <c r="G248"/>
    </row>
    <row r="249" spans="1:7" ht="48" customHeight="1">
      <c r="A249" s="10" t="s">
        <v>473</v>
      </c>
      <c r="B249" s="21" t="str">
        <f>VLOOKUP(A249,Questions!$B$3:$C$256,2,FALSE)</f>
        <v>Have you taken actions to mitigate the identified risks?</v>
      </c>
      <c r="C249" s="8"/>
      <c r="D249" s="9"/>
      <c r="E249" s="148" t="s">
        <v>467</v>
      </c>
      <c r="F249" s="151" t="str">
        <f>VLOOKUP(A249,'Analyst Report'!$A$39:$E$288,5,FALSE)</f>
        <v xml:space="preserve"> </v>
      </c>
      <c r="G249"/>
    </row>
    <row r="250" spans="1:7" ht="48" customHeight="1">
      <c r="A250" s="10" t="s">
        <v>474</v>
      </c>
      <c r="B250" s="21" t="str">
        <f>VLOOKUP(A250,Questions!$B$3:$C$256,2,FALSE)</f>
        <v>Does your application require user and system administrator password changes at a frequency no greater than 90 days?</v>
      </c>
      <c r="C250" s="8"/>
      <c r="D250" s="9"/>
      <c r="E250" s="148" t="s">
        <v>467</v>
      </c>
      <c r="F250" s="151" t="str">
        <f>VLOOKUP(A250,'Analyst Report'!$A$39:$E$288,5,FALSE)</f>
        <v xml:space="preserve"> </v>
      </c>
      <c r="G250"/>
    </row>
    <row r="251" spans="1:7" ht="48" customHeight="1">
      <c r="A251" s="10" t="s">
        <v>475</v>
      </c>
      <c r="B251" s="21" t="str">
        <f>VLOOKUP(A251,Questions!$B$3:$C$256,2,FALSE)</f>
        <v>Does your application require users to set their own password after an administrator reset or on first use of the account?</v>
      </c>
      <c r="C251" s="8"/>
      <c r="D251" s="9"/>
      <c r="E251" s="148" t="s">
        <v>467</v>
      </c>
      <c r="F251" s="151" t="str">
        <f>VLOOKUP(A251,'Analyst Report'!$A$39:$E$288,5,FALSE)</f>
        <v xml:space="preserve"> </v>
      </c>
      <c r="G251"/>
    </row>
    <row r="252" spans="1:7" ht="48" customHeight="1">
      <c r="A252" s="10" t="s">
        <v>476</v>
      </c>
      <c r="B252" s="21" t="str">
        <f>VLOOKUP(A252,Questions!$B$3:$C$256,2,FALSE)</f>
        <v xml:space="preserve">Does your application lock out an account after a number of failed login attempts? </v>
      </c>
      <c r="C252" s="8"/>
      <c r="D252" s="9"/>
      <c r="E252" s="148" t="s">
        <v>467</v>
      </c>
      <c r="F252" s="151" t="str">
        <f>VLOOKUP(A252,'Analyst Report'!$A$39:$E$288,5,FALSE)</f>
        <v xml:space="preserve"> </v>
      </c>
      <c r="G252"/>
    </row>
    <row r="253" spans="1:7" ht="48" customHeight="1">
      <c r="A253" s="10" t="s">
        <v>477</v>
      </c>
      <c r="B253" s="21" t="str">
        <f>VLOOKUP(A253,Questions!$B$3:$C$256,2,FALSE)</f>
        <v>Does your application automatically lock or log-out an account after a period of inactivity?</v>
      </c>
      <c r="C253" s="8"/>
      <c r="D253" s="9"/>
      <c r="E253" s="148" t="s">
        <v>467</v>
      </c>
      <c r="F253" s="151" t="str">
        <f>VLOOKUP(A253,'Analyst Report'!$A$39:$E$288,5,FALSE)</f>
        <v xml:space="preserve"> </v>
      </c>
      <c r="G253"/>
    </row>
    <row r="254" spans="1:7" ht="48" customHeight="1">
      <c r="A254" s="10" t="s">
        <v>478</v>
      </c>
      <c r="B254" s="21" t="str">
        <f>VLOOKUP(A254,Questions!$B$3:$C$256,2,FALSE)</f>
        <v>Are passwords visible in plain text, whether when stored or entered, including service level accounts (i.e., database accounts, etc.)?</v>
      </c>
      <c r="C254" s="8"/>
      <c r="D254" s="9"/>
      <c r="E254" s="148" t="s">
        <v>467</v>
      </c>
      <c r="F254" s="151" t="str">
        <f>VLOOKUP(A254,'Analyst Report'!$A$39:$E$288,5,FALSE)</f>
        <v xml:space="preserve"> </v>
      </c>
      <c r="G254"/>
    </row>
    <row r="255" spans="1:7" ht="48" customHeight="1">
      <c r="A255" s="10" t="s">
        <v>479</v>
      </c>
      <c r="B255" s="21" t="str">
        <f>VLOOKUP(A255,Questions!$B$3:$C$256,2,FALSE)</f>
        <v>If the application is institution-hosted, can all service level and administrative account passwords be changed by the institution?</v>
      </c>
      <c r="C255" s="8"/>
      <c r="D255" s="9"/>
      <c r="E255" s="148" t="s">
        <v>467</v>
      </c>
      <c r="F255" s="151" t="str">
        <f>VLOOKUP(A255,'Analyst Report'!$A$39:$E$288,5,FALSE)</f>
        <v xml:space="preserve"> </v>
      </c>
      <c r="G255"/>
    </row>
    <row r="256" spans="1:7" ht="48" customHeight="1">
      <c r="A256" s="10" t="s">
        <v>480</v>
      </c>
      <c r="B256" s="21" t="str">
        <f>VLOOKUP(A256,Questions!$B$3:$C$256,2,FALSE)</f>
        <v>Does your application provide the ability to define user access levels?</v>
      </c>
      <c r="C256" s="8"/>
      <c r="D256" s="9"/>
      <c r="E256" s="148" t="s">
        <v>467</v>
      </c>
      <c r="F256" s="151" t="str">
        <f>VLOOKUP(A256,'Analyst Report'!$A$39:$E$288,5,FALSE)</f>
        <v xml:space="preserve"> </v>
      </c>
      <c r="G256"/>
    </row>
    <row r="257" spans="1:7" ht="48" customHeight="1">
      <c r="A257" s="10" t="s">
        <v>481</v>
      </c>
      <c r="B257" s="21" t="str">
        <f>VLOOKUP(A257,Questions!$B$3:$C$256,2,FALSE)</f>
        <v>Does your application support varying levels of access to administrative tasks defined individually per user?</v>
      </c>
      <c r="C257" s="8"/>
      <c r="D257" s="9"/>
      <c r="E257" s="148" t="s">
        <v>467</v>
      </c>
      <c r="F257" s="151" t="str">
        <f>VLOOKUP(A257,'Analyst Report'!$A$39:$E$288,5,FALSE)</f>
        <v xml:space="preserve"> </v>
      </c>
      <c r="G257"/>
    </row>
    <row r="258" spans="1:7" ht="48" customHeight="1">
      <c r="A258" s="10" t="s">
        <v>482</v>
      </c>
      <c r="B258" s="21" t="str">
        <f>VLOOKUP(A258,Questions!$B$3:$C$256,2,FALSE)</f>
        <v>Does your application support varying levels of access to records based on user ID?</v>
      </c>
      <c r="C258" s="8"/>
      <c r="D258" s="9"/>
      <c r="E258" s="148" t="s">
        <v>467</v>
      </c>
      <c r="F258" s="151" t="str">
        <f>VLOOKUP(A258,'Analyst Report'!$A$39:$E$288,5,FALSE)</f>
        <v xml:space="preserve"> </v>
      </c>
      <c r="G258"/>
    </row>
    <row r="259" spans="1:7" ht="48" customHeight="1">
      <c r="A259" s="10" t="s">
        <v>483</v>
      </c>
      <c r="B259" s="21" t="str">
        <f>VLOOKUP(A259,Questions!$B$3:$C$256,2,FALSE)</f>
        <v>Is there a limit to the number of groups to which a user can be assigned?</v>
      </c>
      <c r="C259" s="8"/>
      <c r="D259" s="9"/>
      <c r="E259" s="148" t="s">
        <v>467</v>
      </c>
      <c r="F259" s="151" t="str">
        <f>VLOOKUP(A259,'Analyst Report'!$A$39:$E$288,5,FALSE)</f>
        <v xml:space="preserve"> </v>
      </c>
      <c r="G259"/>
    </row>
    <row r="260" spans="1:7" ht="48" customHeight="1">
      <c r="A260" s="10" t="s">
        <v>484</v>
      </c>
      <c r="B260" s="21" t="str">
        <f>VLOOKUP(A260,Questions!$B$3:$C$256,2,FALSE)</f>
        <v>Do accounts used for vendor-supplied remote support abide by the same authentication policies and access logging as the rest of the system?</v>
      </c>
      <c r="C260" s="8"/>
      <c r="D260" s="9"/>
      <c r="E260" s="148" t="s">
        <v>467</v>
      </c>
      <c r="F260" s="151" t="str">
        <f>VLOOKUP(A260,'Analyst Report'!$A$39:$E$288,5,FALSE)</f>
        <v xml:space="preserve"> </v>
      </c>
      <c r="G260"/>
    </row>
    <row r="261" spans="1:7" ht="47.25" customHeight="1">
      <c r="A261" s="10" t="s">
        <v>485</v>
      </c>
      <c r="B261" s="21" t="str">
        <f>VLOOKUP(A261,Questions!$B$3:$C$256,2,FALSE)</f>
        <v xml:space="preserve">Does the application log record access including specific user, date/time of access, and originating IP or device? </v>
      </c>
      <c r="C261" s="8"/>
      <c r="D261" s="9"/>
      <c r="E261" s="148" t="s">
        <v>467</v>
      </c>
      <c r="F261" s="151" t="str">
        <f>VLOOKUP(A261,'Analyst Report'!$A$39:$E$288,5,FALSE)</f>
        <v xml:space="preserve"> </v>
      </c>
      <c r="G261"/>
    </row>
    <row r="262" spans="1:7" ht="47.25" customHeight="1">
      <c r="A262" s="10" t="s">
        <v>486</v>
      </c>
      <c r="B262" s="21" t="str">
        <f>VLOOKUP(A262,Questions!$B$3:$C$256,2,FALSE)</f>
        <v>Does the application log administrative activity, such user account access changes and password changes, including specific user, date/time of changes, and originating IP or device?</v>
      </c>
      <c r="C262" s="8"/>
      <c r="D262" s="9"/>
      <c r="E262" s="148" t="s">
        <v>467</v>
      </c>
      <c r="F262" s="151" t="str">
        <f>VLOOKUP(A262,'Analyst Report'!$A$39:$E$288,5,FALSE)</f>
        <v xml:space="preserve"> </v>
      </c>
      <c r="G262"/>
    </row>
    <row r="263" spans="1:7" ht="48" customHeight="1">
      <c r="A263" s="10" t="s">
        <v>487</v>
      </c>
      <c r="B263" s="21" t="str">
        <f>VLOOKUP(A263,Questions!$B$3:$C$256,2,FALSE)</f>
        <v>How long does the application keep access/change logs?</v>
      </c>
      <c r="C263" s="8"/>
      <c r="D263" s="9"/>
      <c r="E263" s="148" t="s">
        <v>467</v>
      </c>
      <c r="F263" s="151" t="str">
        <f>VLOOKUP(A263,'Analyst Report'!$A$39:$E$288,5,FALSE)</f>
        <v xml:space="preserve"> </v>
      </c>
      <c r="G263"/>
    </row>
    <row r="264" spans="1:7" ht="65.25" customHeight="1">
      <c r="A264" s="10" t="s">
        <v>488</v>
      </c>
      <c r="B264" s="21" t="str">
        <f>VLOOKUP(A264,Questions!$B$3:$C$256,2,FALSE)</f>
        <v xml:space="preserve">Can the application logs be archived? </v>
      </c>
      <c r="C264" s="8"/>
      <c r="D264" s="9"/>
      <c r="E264" s="148" t="s">
        <v>467</v>
      </c>
      <c r="F264" s="151" t="str">
        <f>VLOOKUP(A264,'Analyst Report'!$A$39:$E$288,5,FALSE)</f>
        <v xml:space="preserve"> </v>
      </c>
      <c r="G264"/>
    </row>
    <row r="265" spans="1:7" ht="48" customHeight="1">
      <c r="A265" s="10" t="s">
        <v>489</v>
      </c>
      <c r="B265" s="21" t="str">
        <f>VLOOKUP(A265,Questions!$B$3:$C$256,2,FALSE)</f>
        <v xml:space="preserve">Can the application logs be saved externally? </v>
      </c>
      <c r="C265" s="8"/>
      <c r="D265" s="9"/>
      <c r="E265" s="148" t="s">
        <v>467</v>
      </c>
      <c r="F265" s="151" t="str">
        <f>VLOOKUP(A265,'Analyst Report'!$A$39:$E$288,5,FALSE)</f>
        <v xml:space="preserve"> </v>
      </c>
      <c r="G265"/>
    </row>
    <row r="266" spans="1:7" ht="48" customHeight="1">
      <c r="A266" s="10" t="s">
        <v>490</v>
      </c>
      <c r="B266" s="21" t="str">
        <f>VLOOKUP(A266,Questions!$B$3:$C$256,2,FALSE)</f>
        <v>Do your data backup and retention policies and practices meet HIPAA requirements?</v>
      </c>
      <c r="C266" s="8"/>
      <c r="D266" s="9"/>
      <c r="E266" s="148" t="s">
        <v>467</v>
      </c>
      <c r="F266" s="151" t="str">
        <f>VLOOKUP(A266,'Analyst Report'!$A$39:$E$288,5,FALSE)</f>
        <v xml:space="preserve"> </v>
      </c>
      <c r="G266"/>
    </row>
    <row r="267" spans="1:7" ht="48" customHeight="1">
      <c r="A267" s="10" t="s">
        <v>491</v>
      </c>
      <c r="B267" s="21" t="str">
        <f>VLOOKUP(A267,Questions!$B$3:$C$256,2,FALSE)</f>
        <v>Do you have a disaster recovery plan and emergency mode operation plan?</v>
      </c>
      <c r="C267" s="8"/>
      <c r="D267" s="9"/>
      <c r="E267" s="148" t="s">
        <v>467</v>
      </c>
      <c r="F267" s="151" t="str">
        <f>VLOOKUP(A267,'Analyst Report'!$A$39:$E$288,5,FALSE)</f>
        <v xml:space="preserve"> </v>
      </c>
      <c r="G267"/>
    </row>
    <row r="268" spans="1:7" ht="48" customHeight="1">
      <c r="A268" s="10" t="s">
        <v>492</v>
      </c>
      <c r="B268" s="21" t="str">
        <f>VLOOKUP(A268,Questions!$B$3:$C$256,2,FALSE)</f>
        <v>Have the policies/plans mentioned above been tested?</v>
      </c>
      <c r="C268" s="8"/>
      <c r="D268" s="9"/>
      <c r="E268" s="148" t="s">
        <v>467</v>
      </c>
      <c r="F268" s="151" t="str">
        <f>VLOOKUP(A268,'Analyst Report'!$A$39:$E$288,5,FALSE)</f>
        <v xml:space="preserve"> </v>
      </c>
      <c r="G268"/>
    </row>
    <row r="269" spans="1:7" ht="48" customHeight="1">
      <c r="A269" s="10" t="s">
        <v>493</v>
      </c>
      <c r="B269" s="21" t="str">
        <f>VLOOKUP(A269,Questions!$B$3:$C$256,2,FALSE)</f>
        <v>Can you provide a HIPAA compliance attestation document?</v>
      </c>
      <c r="C269" s="8"/>
      <c r="D269" s="9"/>
      <c r="E269" s="148" t="s">
        <v>467</v>
      </c>
      <c r="F269" s="151" t="str">
        <f>VLOOKUP(A269,'Analyst Report'!$A$39:$E$288,5,FALSE)</f>
        <v xml:space="preserve"> </v>
      </c>
      <c r="G269"/>
    </row>
    <row r="270" spans="1:7" ht="48" customHeight="1">
      <c r="A270" s="10" t="s">
        <v>494</v>
      </c>
      <c r="B270" s="21" t="str">
        <f>VLOOKUP(A270,Questions!$B$3:$C$256,2,FALSE)</f>
        <v>Are you willing to enter into a Business Associate Agreement (BAA)?</v>
      </c>
      <c r="C270" s="8"/>
      <c r="D270" s="9"/>
      <c r="E270" s="148" t="s">
        <v>467</v>
      </c>
      <c r="F270" s="151" t="str">
        <f>VLOOKUP(A270,'Analyst Report'!$A$39:$E$288,5,FALSE)</f>
        <v xml:space="preserve"> </v>
      </c>
      <c r="G270"/>
    </row>
    <row r="271" spans="1:7" ht="48" customHeight="1">
      <c r="A271" s="10" t="s">
        <v>495</v>
      </c>
      <c r="B271" s="21" t="str">
        <f>VLOOKUP(A271,Questions!$B$3:$C$256,2,FALSE)</f>
        <v>Have you entered into a BAA with all subcontractors who may have access to protected health information (PHI)?</v>
      </c>
      <c r="C271" s="8"/>
      <c r="D271" s="9"/>
      <c r="E271" s="148" t="s">
        <v>467</v>
      </c>
      <c r="F271" s="151" t="str">
        <f>VLOOKUP(A271,'Analyst Report'!$A$39:$E$288,5,FALSE)</f>
        <v xml:space="preserve"> </v>
      </c>
      <c r="G271" s="239" t="s">
        <v>91</v>
      </c>
    </row>
    <row r="272" spans="1:7" ht="36" customHeight="1">
      <c r="A272" s="283" t="str">
        <f>IF(OR($C$31="No"),"PCI DSS - Optional based on QUALIFIER response.","PCI DSS")</f>
        <v>PCI DSS - Optional based on QUALIFIER response.</v>
      </c>
      <c r="B272" s="283"/>
      <c r="C272" s="18" t="s">
        <v>94</v>
      </c>
      <c r="D272" s="18" t="s">
        <v>95</v>
      </c>
      <c r="E272" s="146" t="s">
        <v>96</v>
      </c>
      <c r="F272" s="150" t="s">
        <v>97</v>
      </c>
      <c r="G272"/>
    </row>
    <row r="273" spans="1:7" ht="48" customHeight="1">
      <c r="A273" s="10" t="s">
        <v>496</v>
      </c>
      <c r="B273" s="21" t="str">
        <f>VLOOKUP(A273,Questions!$B$3:$C$256,2,FALSE)</f>
        <v>Do your systems or products store, process, or transmit cardholder (payment/credit/debt card) data?</v>
      </c>
      <c r="C273" s="8"/>
      <c r="D273" s="9"/>
      <c r="E273" s="147" t="str">
        <f>IF((C273=""),VLOOKUP(A273,Questions!B:G,4,FALSE),IF(C273="Yes",VLOOKUP(A273,Questions!B:G,6,FALSE),IF(C273="No",VLOOKUP(A273,Questions!B:G,5,FALSE),"N/A")))</f>
        <v>Refer to PCI DSS Security Standards for supplemental guidance in this section</v>
      </c>
      <c r="F273" s="151" t="str">
        <f>VLOOKUP(A273,'Analyst Report'!$A$39:$E$288,5,FALSE)</f>
        <v xml:space="preserve"> </v>
      </c>
      <c r="G273"/>
    </row>
    <row r="274" spans="1:7" ht="48" customHeight="1">
      <c r="A274" s="10" t="s">
        <v>497</v>
      </c>
      <c r="B274" s="21" t="str">
        <f>VLOOKUP(A274,Questions!$B$3:$C$256,2,FALSE)</f>
        <v>Are you compliant with the Payment Card Industry Data Security Standard (PCI DSS)?</v>
      </c>
      <c r="C274" s="8"/>
      <c r="D274" s="9"/>
      <c r="E274" s="147" t="str">
        <f>IF((C274=""),VLOOKUP(A274,Questions!B:G,4,FALSE),IF(C274="Yes",VLOOKUP(A274,Questions!B:G,6,FALSE),IF(C274="No",VLOOKUP(A274,Questions!B:G,5,FALSE),"N/A")))</f>
        <v>Refer to PCI DSS Security Standards for supplemental guidance in this section</v>
      </c>
      <c r="F274" s="151" t="str">
        <f>VLOOKUP(A274,'Analyst Report'!$A$39:$E$288,5,FALSE)</f>
        <v xml:space="preserve"> </v>
      </c>
      <c r="G274"/>
    </row>
    <row r="275" spans="1:7" ht="48" customHeight="1">
      <c r="A275" s="10" t="s">
        <v>498</v>
      </c>
      <c r="B275" s="21" t="str">
        <f>VLOOKUP(A275,Questions!$B$3:$C$256,2,FALSE)</f>
        <v>Do you have a current, executed within the past year, Attestation of Compliance (AoC) or Report on Compliance (RoC)?</v>
      </c>
      <c r="C275" s="8"/>
      <c r="D275" s="9"/>
      <c r="E275" s="147" t="str">
        <f>IF((C275=""),VLOOKUP(A275,Questions!B:G,4,FALSE),IF(C275="Yes",VLOOKUP(A275,Questions!B:G,6,FALSE),IF(C275="No",VLOOKUP(A275,Questions!B:G,5,FALSE),"N/A")))</f>
        <v>Refer to PCI DSS Security Standards for supplemental guidance in this section</v>
      </c>
      <c r="F275" s="151" t="str">
        <f>VLOOKUP(A275,'Analyst Report'!$A$39:$E$288,5,FALSE)</f>
        <v xml:space="preserve"> </v>
      </c>
      <c r="G275"/>
    </row>
    <row r="276" spans="1:7" ht="48" customHeight="1">
      <c r="A276" s="10" t="s">
        <v>499</v>
      </c>
      <c r="B276" s="21" t="str">
        <f>VLOOKUP(A276,Questions!$B$3:$C$256,2,FALSE)</f>
        <v>Are you classified as a service provider?</v>
      </c>
      <c r="C276" s="8"/>
      <c r="D276" s="9"/>
      <c r="E276" s="147" t="str">
        <f>IF((C276=""),VLOOKUP(A276,Questions!B:G,4,FALSE),IF(C276="Yes",VLOOKUP(A276,Questions!B:G,6,FALSE),IF(C276="No",VLOOKUP(A276,Questions!B:G,5,FALSE),"N/A")))</f>
        <v>Refer to PCI DSS Security Standards for supplemental guidance in this section</v>
      </c>
      <c r="F276" s="151" t="str">
        <f>VLOOKUP(A276,'Analyst Report'!$A$39:$E$288,5,FALSE)</f>
        <v xml:space="preserve"> </v>
      </c>
      <c r="G276"/>
    </row>
    <row r="277" spans="1:7" ht="48" customHeight="1">
      <c r="A277" s="10" t="s">
        <v>500</v>
      </c>
      <c r="B277" s="21" t="str">
        <f>VLOOKUP(A277,Questions!$B$3:$C$256,2,FALSE)</f>
        <v xml:space="preserve">Are you on the list of VISA approved service providers? </v>
      </c>
      <c r="C277" s="8"/>
      <c r="D277" s="9"/>
      <c r="E277" s="147" t="str">
        <f>IF((C277=""),VLOOKUP(A277,Questions!B:G,4,FALSE),IF(C277="Yes",VLOOKUP(A277,Questions!B:G,6,FALSE),IF(C277="No",VLOOKUP(A277,Questions!B:G,5,FALSE),"N/A")))</f>
        <v>Refer to PCI DSS Security Standards for supplemental guidance in this section</v>
      </c>
      <c r="F277" s="151" t="str">
        <f>VLOOKUP(A277,'Analyst Report'!$A$39:$E$288,5,FALSE)</f>
        <v xml:space="preserve"> </v>
      </c>
      <c r="G277"/>
    </row>
    <row r="278" spans="1:7" ht="48" customHeight="1">
      <c r="A278" s="10" t="s">
        <v>501</v>
      </c>
      <c r="B278" s="21" t="str">
        <f>VLOOKUP(A278,Questions!$B$3:$C$256,2,FALSE)</f>
        <v>Are you classified as a merchant? If so, what level (1, 2, 3, 4)?</v>
      </c>
      <c r="C278" s="8"/>
      <c r="D278" s="9"/>
      <c r="E278" s="147" t="str">
        <f>IF((C278=""),VLOOKUP(A278,Questions!B:G,4,FALSE),IF(C278="Yes",VLOOKUP(A278,Questions!B:G,6,FALSE),IF(C278="No",VLOOKUP(A278,Questions!B:G,5,FALSE),"N/A")))</f>
        <v>Refer to PCI DSS Security Standards for supplemental guidance in this section</v>
      </c>
      <c r="F278" s="151" t="str">
        <f>VLOOKUP(A278,'Analyst Report'!$A$39:$E$288,5,FALSE)</f>
        <v xml:space="preserve"> </v>
      </c>
      <c r="G278"/>
    </row>
    <row r="279" spans="1:7" ht="64.5" customHeight="1">
      <c r="A279" s="10" t="s">
        <v>502</v>
      </c>
      <c r="B279" s="21" t="str">
        <f>VLOOKUP(A279,Questions!$B$3:$C$256,2,FALSE)</f>
        <v>Describe the architecture employed by the system to verify and authorize credit card transactions.</v>
      </c>
      <c r="C279" s="312"/>
      <c r="D279" s="312"/>
      <c r="E279" s="147" t="str">
        <f>IF((C279=""),VLOOKUP(A279,Questions!B:G,4,FALSE),IF(C279="Yes",VLOOKUP(A279,Questions!B:G,6,FALSE),IF(C279="No",VLOOKUP(A279,Questions!B:G,5,FALSE),"N/A")))</f>
        <v>Refer to PCI DSS Security Standards for supplemental guidance in this section</v>
      </c>
      <c r="F279" s="151" t="str">
        <f>VLOOKUP(A279,'Analyst Report'!$A$39:$E$288,5,FALSE)</f>
        <v xml:space="preserve"> </v>
      </c>
      <c r="G279"/>
    </row>
    <row r="280" spans="1:7" ht="64.5" customHeight="1">
      <c r="A280" s="10" t="s">
        <v>503</v>
      </c>
      <c r="B280" s="21" t="str">
        <f>VLOOKUP(A280,Questions!$B$3:$C$256,2,FALSE)</f>
        <v xml:space="preserve">What payment processors/gateways does the system support? </v>
      </c>
      <c r="C280" s="312"/>
      <c r="D280" s="312"/>
      <c r="E280" s="147" t="str">
        <f>IF((C280=""),VLOOKUP(A280,Questions!B:G,4,FALSE),IF(C280="Yes",VLOOKUP(A280,Questions!B:G,6,FALSE),IF(C280="No",VLOOKUP(A280,Questions!B:G,5,FALSE),"N/A")))</f>
        <v>Refer to PCI DSS Security Standards for supplemental guidance in this section</v>
      </c>
      <c r="F280" s="151" t="str">
        <f>VLOOKUP(A280,'Analyst Report'!$A$39:$E$288,5,FALSE)</f>
        <v xml:space="preserve"> </v>
      </c>
      <c r="G280"/>
    </row>
    <row r="281" spans="1:7" ht="48" customHeight="1">
      <c r="A281" s="10" t="s">
        <v>504</v>
      </c>
      <c r="B281" s="21" t="str">
        <f>VLOOKUP(A281,Questions!$B$3:$C$256,2,FALSE)</f>
        <v>Can the application be installed in a PCI DSS–compliant manner ?</v>
      </c>
      <c r="C281" s="8"/>
      <c r="D281" s="9"/>
      <c r="E281" s="147" t="str">
        <f>IF((C281=""),VLOOKUP(A281,Questions!B:G,4,FALSE),IF(C281="Yes",VLOOKUP(A281,Questions!B:G,6,FALSE),IF(C281="No",VLOOKUP(A281,Questions!B:G,5,FALSE),"N/A")))</f>
        <v>Refer to PCI DSS Security Standards for supplemental guidance in this section</v>
      </c>
      <c r="F281" s="151" t="str">
        <f>VLOOKUP(A281,'Analyst Report'!$A$39:$E$288,5,FALSE)</f>
        <v xml:space="preserve"> </v>
      </c>
      <c r="G281"/>
    </row>
    <row r="282" spans="1:7" ht="48" customHeight="1">
      <c r="A282" s="10" t="s">
        <v>505</v>
      </c>
      <c r="B282" s="21" t="str">
        <f>VLOOKUP(A282,Questions!$B$3:$C$256,2,FALSE)</f>
        <v xml:space="preserve">Is the application listed as an approved Payment Application Data Security Standard (PA-DSS) application? </v>
      </c>
      <c r="C282" s="8"/>
      <c r="D282" s="9"/>
      <c r="E282" s="147" t="str">
        <f>IF((C282=""),VLOOKUP(A282,Questions!B:G,4,FALSE),IF(C282="Yes",VLOOKUP(A282,Questions!B:G,6,FALSE),IF(C282="No",VLOOKUP(A282,Questions!B:G,5,FALSE),"N/A")))</f>
        <v>Refer to PCI DSS Security Standards for supplemental guidance in this section</v>
      </c>
      <c r="F282" s="151" t="str">
        <f>VLOOKUP(A282,'Analyst Report'!$A$39:$E$288,5,FALSE)</f>
        <v xml:space="preserve"> </v>
      </c>
      <c r="G282"/>
    </row>
    <row r="283" spans="1:7" ht="54" customHeight="1">
      <c r="A283" s="10" t="s">
        <v>506</v>
      </c>
      <c r="B283" s="21" t="str">
        <f>VLOOKUP(A283,Questions!$B$3:$C$256,2,FALSE)</f>
        <v>Does the system or products use a third party to collect, store, process, or transmit cardholder (payment/credit/debt card) data?</v>
      </c>
      <c r="C283" s="8"/>
      <c r="D283" s="9"/>
      <c r="E283" s="147" t="str">
        <f>IF((C283=""),VLOOKUP(A283,Questions!B:G,4,FALSE),IF(C283="Yes",VLOOKUP(A283,Questions!B:G,6,FALSE),IF(C283="No",VLOOKUP(A283,Questions!B:G,5,FALSE),"N/A")))</f>
        <v>Refer to PCI DSS Security Standards for supplemental guidance in this section</v>
      </c>
      <c r="F283" s="151" t="str">
        <f>VLOOKUP(A283,'Analyst Report'!$A$39:$E$288,5,FALSE)</f>
        <v xml:space="preserve"> </v>
      </c>
      <c r="G283"/>
    </row>
    <row r="284" spans="1:7" ht="64.5" customHeight="1" thickBot="1">
      <c r="A284" s="10" t="s">
        <v>507</v>
      </c>
      <c r="B284" s="21" t="str">
        <f>VLOOKUP(A284,Questions!$B$3:$C$256,2,FALSE)</f>
        <v xml:space="preserve">Include documentation describing the systems' abilities to comply with the PCI DSS and any features or capabilities of the system that must be added or changed in order to operate in compliance with the standards. </v>
      </c>
      <c r="C284" s="312"/>
      <c r="D284" s="312"/>
      <c r="E284" s="147" t="str">
        <f>IF((C284=""),VLOOKUP(A284,Questions!B:G,4,FALSE),IF(C284="Yes",VLOOKUP(A284,Questions!B:G,6,FALSE),IF(C284="No",VLOOKUP(A284,Questions!B:G,5,FALSE),"N/A")))</f>
        <v>Refer to PCI DSS Security Standards for supplemental guidance in this section</v>
      </c>
      <c r="F284" s="152" t="str">
        <f>VLOOKUP(A284,'Analyst Report'!$A$39:$E$288,5,FALSE)</f>
        <v xml:space="preserve"> </v>
      </c>
      <c r="G284" s="239" t="s">
        <v>91</v>
      </c>
    </row>
    <row r="285" spans="1:7" ht="15" customHeight="1">
      <c r="A285" s="237" t="s">
        <v>24</v>
      </c>
    </row>
  </sheetData>
  <mergeCells count="57">
    <mergeCell ref="A78:B78"/>
    <mergeCell ref="A272:B272"/>
    <mergeCell ref="A207:B207"/>
    <mergeCell ref="A224:B224"/>
    <mergeCell ref="A93:B93"/>
    <mergeCell ref="A113:B113"/>
    <mergeCell ref="A124:B124"/>
    <mergeCell ref="A140:B140"/>
    <mergeCell ref="A229:B229"/>
    <mergeCell ref="A165:B165"/>
    <mergeCell ref="A183:B183"/>
    <mergeCell ref="A195:B195"/>
    <mergeCell ref="A235:B235"/>
    <mergeCell ref="A242:B242"/>
    <mergeCell ref="C111:D111"/>
    <mergeCell ref="C279:D279"/>
    <mergeCell ref="C284:D284"/>
    <mergeCell ref="C280:D280"/>
    <mergeCell ref="C184:D184"/>
    <mergeCell ref="C192:D192"/>
    <mergeCell ref="C112:D112"/>
    <mergeCell ref="C177:D177"/>
    <mergeCell ref="C240:D240"/>
    <mergeCell ref="A26:E26"/>
    <mergeCell ref="A34:B34"/>
    <mergeCell ref="A52:B52"/>
    <mergeCell ref="A62:B62"/>
    <mergeCell ref="A68:B68"/>
    <mergeCell ref="C35:D35"/>
    <mergeCell ref="C64:D64"/>
    <mergeCell ref="C65:D65"/>
    <mergeCell ref="A40:B40"/>
    <mergeCell ref="C39:D39"/>
    <mergeCell ref="C13:E13"/>
    <mergeCell ref="C14:E14"/>
    <mergeCell ref="A24:E24"/>
    <mergeCell ref="A25:B25"/>
    <mergeCell ref="C15:E15"/>
    <mergeCell ref="C19:E19"/>
    <mergeCell ref="C20:E20"/>
    <mergeCell ref="C21:E21"/>
    <mergeCell ref="A2:D2"/>
    <mergeCell ref="A3:E3"/>
    <mergeCell ref="A5:B5"/>
    <mergeCell ref="A6:E6"/>
    <mergeCell ref="A23:B23"/>
    <mergeCell ref="C4:E4"/>
    <mergeCell ref="C16:E16"/>
    <mergeCell ref="C17:E17"/>
    <mergeCell ref="C22:E22"/>
    <mergeCell ref="C8:E8"/>
    <mergeCell ref="C10:E10"/>
    <mergeCell ref="C11:E11"/>
    <mergeCell ref="C12:E12"/>
    <mergeCell ref="C9:E9"/>
    <mergeCell ref="A7:E7"/>
    <mergeCell ref="C18:E18"/>
  </mergeCells>
  <conditionalFormatting sqref="A62 C62:E62">
    <cfRule type="expression" dxfId="128" priority="198">
      <formula>$C$29="No"</formula>
    </cfRule>
  </conditionalFormatting>
  <conditionalFormatting sqref="A68 C68:E68">
    <cfRule type="expression" dxfId="127" priority="178">
      <formula>#REF!="No"</formula>
    </cfRule>
  </conditionalFormatting>
  <conditionalFormatting sqref="A77 C77">
    <cfRule type="expression" dxfId="126" priority="179">
      <formula>$C$76="No"</formula>
    </cfRule>
  </conditionalFormatting>
  <conditionalFormatting sqref="A104">
    <cfRule type="expression" dxfId="125" priority="159">
      <formula>$C$103="No"</formula>
    </cfRule>
  </conditionalFormatting>
  <conditionalFormatting sqref="A113 C113:E113">
    <cfRule type="expression" dxfId="124" priority="171">
      <formula>$C$30="No"</formula>
    </cfRule>
  </conditionalFormatting>
  <conditionalFormatting sqref="A126">
    <cfRule type="expression" dxfId="123" priority="155">
      <formula>$C$125="No"</formula>
    </cfRule>
  </conditionalFormatting>
  <conditionalFormatting sqref="A152 C152:D152">
    <cfRule type="expression" dxfId="122" priority="154">
      <formula>$C$151="No"</formula>
    </cfRule>
  </conditionalFormatting>
  <conditionalFormatting sqref="A170:A171 C170:D171">
    <cfRule type="expression" dxfId="121" priority="151">
      <formula>$C$169="No"</formula>
    </cfRule>
  </conditionalFormatting>
  <conditionalFormatting sqref="A171 C171:D171">
    <cfRule type="expression" dxfId="120" priority="150">
      <formula>$C$170="No"</formula>
    </cfRule>
  </conditionalFormatting>
  <conditionalFormatting sqref="A175">
    <cfRule type="expression" dxfId="119" priority="194">
      <formula>$C$174="No"</formula>
    </cfRule>
  </conditionalFormatting>
  <conditionalFormatting sqref="A183 C183:E183">
    <cfRule type="expression" dxfId="118" priority="197">
      <formula>$C$31="No"</formula>
    </cfRule>
  </conditionalFormatting>
  <conditionalFormatting sqref="A189 C189:D189">
    <cfRule type="expression" dxfId="117" priority="148">
      <formula>$C$188="No"</formula>
    </cfRule>
  </conditionalFormatting>
  <conditionalFormatting sqref="A206">
    <cfRule type="expression" dxfId="116" priority="146">
      <formula>$C$205="No"</formula>
    </cfRule>
  </conditionalFormatting>
  <conditionalFormatting sqref="A222">
    <cfRule type="expression" dxfId="115" priority="140">
      <formula>#REF!="No"</formula>
    </cfRule>
  </conditionalFormatting>
  <conditionalFormatting sqref="A237 C237:D237">
    <cfRule type="expression" dxfId="114" priority="132">
      <formula>$C$236="No"</formula>
    </cfRule>
  </conditionalFormatting>
  <conditionalFormatting sqref="A242 C242:E242">
    <cfRule type="expression" dxfId="113" priority="199">
      <formula>$C$27="No"</formula>
    </cfRule>
  </conditionalFormatting>
  <conditionalFormatting sqref="A250:A251 D250:D251">
    <cfRule type="expression" dxfId="112" priority="130">
      <formula>$C$249="No"</formula>
    </cfRule>
  </conditionalFormatting>
  <conditionalFormatting sqref="A251 D251">
    <cfRule type="expression" dxfId="111" priority="131">
      <formula>$C$250="No"</formula>
    </cfRule>
  </conditionalFormatting>
  <conditionalFormatting sqref="A267 C267:E267">
    <cfRule type="expression" dxfId="110" priority="169">
      <formula>$C$266="No"</formula>
    </cfRule>
  </conditionalFormatting>
  <conditionalFormatting sqref="A270:A271 C270:E270">
    <cfRule type="expression" dxfId="109" priority="127">
      <formula>$C$269="No"</formula>
    </cfRule>
  </conditionalFormatting>
  <conditionalFormatting sqref="A272 C272:E272">
    <cfRule type="expression" dxfId="108" priority="184">
      <formula>$C$32="No"</formula>
    </cfRule>
  </conditionalFormatting>
  <conditionalFormatting sqref="A243:B271">
    <cfRule type="expression" dxfId="107" priority="4">
      <formula>$C$27="No"</formula>
    </cfRule>
  </conditionalFormatting>
  <conditionalFormatting sqref="A273:B284 A285">
    <cfRule type="expression" dxfId="106" priority="3">
      <formula>$C$31="No"</formula>
    </cfRule>
  </conditionalFormatting>
  <conditionalFormatting sqref="A78:E78 A93:E93 A113:E113 A124:E124 A140:E140 A165:E165 A183:E183 A195:E195 A207:E207 A224:E224 A229:E229 A242:E242 A272:E272">
    <cfRule type="expression" dxfId="105" priority="163">
      <formula>#REF!="Yes"</formula>
    </cfRule>
  </conditionalFormatting>
  <conditionalFormatting sqref="A235:E235">
    <cfRule type="expression" dxfId="104" priority="160">
      <formula>#REF!="Yes"</formula>
    </cfRule>
  </conditionalFormatting>
  <conditionalFormatting sqref="C75">
    <cfRule type="expression" dxfId="103" priority="22">
      <formula>$C$74="No"</formula>
    </cfRule>
  </conditionalFormatting>
  <conditionalFormatting sqref="C172">
    <cfRule type="expression" dxfId="102" priority="2">
      <formula>$C$169="No"</formula>
    </cfRule>
    <cfRule type="expression" dxfId="101" priority="1">
      <formula>$C$170="No"</formula>
    </cfRule>
  </conditionalFormatting>
  <conditionalFormatting sqref="C104:D104">
    <cfRule type="expression" dxfId="100" priority="11">
      <formula>$C$103="No"</formula>
    </cfRule>
  </conditionalFormatting>
  <dataValidations count="3">
    <dataValidation type="list" allowBlank="1" showInputMessage="1" showErrorMessage="1" sqref="C53:C61 C41:C51 C96:C110 C230:C234 C114:C123 C178:C182 C273:C278 C125:C139 C281:C283 C69:C77 C193:C194 C185:C191 C196:C206 C208:C223 C225:C228 C86:C92 C243:C271 C141:C164 C27:C32 C66:C67 C36:C38 C63 C166:C172 C174:C176 C79:C84 C236:C239 C241" xr:uid="{00000000-0002-0000-0200-000000000000}">
      <formula1>yes</formula1>
    </dataValidation>
    <dataValidation type="list" allowBlank="1" showInputMessage="1" showErrorMessage="1" sqref="C173" xr:uid="{00000000-0002-0000-0200-000001000000}">
      <formula1>uptime</formula1>
    </dataValidation>
    <dataValidation type="list" allowBlank="1" showInputMessage="1" showErrorMessage="1" sqref="C85" xr:uid="{53BE7DEC-99EB-724F-85FC-A4DC23FEDE5D}">
      <formula1>dr</formula1>
    </dataValidation>
  </dataValidations>
  <hyperlinks>
    <hyperlink ref="C11" r:id="rId1" xr:uid="{3748262E-FFA8-7041-AFDB-BE8FF2C548C3}"/>
    <hyperlink ref="C15" r:id="rId2" display="mailto:laura@weaveeducation.com" xr:uid="{04D06888-AE6B-574F-8CA7-35520DFCBF13}"/>
    <hyperlink ref="C19" r:id="rId3" display="mailto:laura@weaveeducation.com" xr:uid="{80472C2C-83FC-C544-AC29-3FA06F132A2D}"/>
  </hyperlinks>
  <pageMargins left="0.75" right="0.75" top="1" bottom="1" header="0.5" footer="0.5"/>
  <pageSetup orientation="landscape" r:id="rId4"/>
  <headerFooter>
    <oddFooter>&amp;L&amp;"Helvetica,Regular"&amp;12&amp;K000000	&amp;P</oddFooter>
  </headerFooter>
  <extLst>
    <ext xmlns:x14="http://schemas.microsoft.com/office/spreadsheetml/2009/9/main" uri="{78C0D931-6437-407d-A8EE-F0AAD7539E65}">
      <x14:conditionalFormattings>
        <x14:conditionalFormatting xmlns:xm="http://schemas.microsoft.com/office/excel/2006/main">
          <x14:cfRule type="expression" priority="5" id="{74F39E9F-DD3F-4EC1-A88D-F15F0F9D8333}">
            <xm:f>VLOOKUP($A94,Questions!$B$18:$L$309,10,FALSE)=0</xm:f>
            <x14:dxf>
              <font>
                <strike/>
                <color theme="0" tint="-0.34998626667073579"/>
              </font>
            </x14:dxf>
          </x14:cfRule>
          <xm:sqref>A94:B112</xm:sqref>
        </x14:conditionalFormatting>
        <x14:conditionalFormatting xmlns:xm="http://schemas.microsoft.com/office/excel/2006/main">
          <x14:cfRule type="expression" priority="7" stopIfTrue="1" id="{4E2403BC-19E5-4009-939B-C1181C97F984}">
            <xm:f>VLOOKUP($A166,Questions!$B$18:$L$309,10,TRUE)=0</xm:f>
            <x14:dxf>
              <font>
                <b val="0"/>
                <i/>
                <strike/>
                <color theme="2" tint="-9.9948118533890809E-2"/>
              </font>
              <fill>
                <patternFill>
                  <bgColor theme="2"/>
                </patternFill>
              </fill>
            </x14:dxf>
          </x14:cfRule>
          <xm:sqref>A166:B182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Values!$A$50:$A$56</xm:f>
          </x14:formula1>
          <xm:sqref>C33</xm:sqref>
        </x14:dataValidation>
        <x14:dataValidation type="list" allowBlank="1" showInputMessage="1" showErrorMessage="1" xr:uid="{00000000-0002-0000-0200-000004000000}">
          <x14:formula1>
            <xm:f>Values!$C$26:$C$29</xm:f>
          </x14:formula1>
          <xm:sqref>C95</xm:sqref>
        </x14:dataValidation>
        <x14:dataValidation type="list" allowBlank="1" showInputMessage="1" showErrorMessage="1" xr:uid="{F140F162-E6B7-4C7E-B47E-7A14C75BF68B}">
          <x14:formula1>
            <xm:f>Values!$C$26:$C$27</xm:f>
          </x14:formula1>
          <xm:sqref>C94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50"/>
  </sheetPr>
  <dimension ref="A1:J291"/>
  <sheetViews>
    <sheetView zoomScaleNormal="100" workbookViewId="0">
      <selection activeCell="C248" sqref="C248"/>
    </sheetView>
  </sheetViews>
  <sheetFormatPr defaultColWidth="0" defaultRowHeight="15.95" zeroHeight="1"/>
  <cols>
    <col min="1" max="1" width="16.5" style="63" customWidth="1"/>
    <col min="2" max="2" width="20.59765625" style="63" customWidth="1"/>
    <col min="3" max="3" width="22.59765625" style="63" customWidth="1"/>
    <col min="4" max="4" width="21.5" style="63" customWidth="1"/>
    <col min="5" max="5" width="19" style="63" customWidth="1"/>
    <col min="6" max="6" width="14.59765625" style="63" customWidth="1"/>
    <col min="7" max="7" width="16.59765625" style="63" customWidth="1"/>
    <col min="8" max="8" width="20" style="63" customWidth="1"/>
    <col min="9" max="9" width="21.59765625" style="63" customWidth="1"/>
    <col min="10" max="10" width="8.5" style="63" customWidth="1"/>
    <col min="11" max="16384" width="8.5" style="63" hidden="1"/>
  </cols>
  <sheetData>
    <row r="1" spans="1:9">
      <c r="A1" s="238" t="s">
        <v>508</v>
      </c>
    </row>
    <row r="2" spans="1:9" ht="36" customHeight="1">
      <c r="A2" s="340" t="s">
        <v>509</v>
      </c>
      <c r="B2" s="340"/>
      <c r="C2" s="340"/>
      <c r="D2" s="340"/>
      <c r="E2" s="340"/>
      <c r="F2" s="340"/>
      <c r="G2" s="340"/>
      <c r="H2" s="341"/>
      <c r="I2" s="89" t="str">
        <f>'HECVAT - Full | Vendor Response'!E2</f>
        <v>Version 3.06</v>
      </c>
    </row>
    <row r="3" spans="1:9" ht="36" customHeight="1">
      <c r="A3" s="280" t="s">
        <v>510</v>
      </c>
      <c r="B3" s="280"/>
      <c r="C3" s="280"/>
      <c r="D3" s="280"/>
      <c r="E3" s="280"/>
      <c r="F3" s="280"/>
      <c r="G3" s="280"/>
      <c r="H3" s="280"/>
      <c r="I3" s="280"/>
    </row>
    <row r="4" spans="1:9" ht="36" customHeight="1">
      <c r="A4" s="345" t="s">
        <v>92</v>
      </c>
      <c r="B4" s="346"/>
      <c r="C4" s="346"/>
      <c r="D4" s="346"/>
      <c r="E4" s="346"/>
      <c r="F4" s="346"/>
      <c r="G4" s="346"/>
      <c r="H4" s="346"/>
      <c r="I4" s="346"/>
    </row>
    <row r="5" spans="1:9" ht="48" customHeight="1">
      <c r="A5" s="347" t="s">
        <v>511</v>
      </c>
      <c r="B5" s="348"/>
      <c r="C5" s="348"/>
      <c r="D5" s="348"/>
      <c r="E5" s="348"/>
      <c r="F5" s="348"/>
      <c r="G5" s="348"/>
      <c r="H5" s="348"/>
      <c r="I5" s="348"/>
    </row>
    <row r="6" spans="1:9" s="12" customFormat="1" ht="48" customHeight="1">
      <c r="A6" s="70" t="s">
        <v>512</v>
      </c>
      <c r="B6" s="342" t="str">
        <f>'HECVAT - Full | Vendor Response'!C8</f>
        <v>Weave Education, LLC</v>
      </c>
      <c r="C6" s="342"/>
      <c r="D6" s="81"/>
      <c r="E6" s="81"/>
      <c r="F6" s="70" t="s">
        <v>513</v>
      </c>
      <c r="G6" s="349" t="str">
        <f>'HECVAT - Full | Vendor Response'!C9</f>
        <v>Weave v1.0</v>
      </c>
      <c r="H6" s="349"/>
      <c r="I6" s="349"/>
    </row>
    <row r="7" spans="1:9" s="12" customFormat="1" ht="48" customHeight="1">
      <c r="A7" s="70" t="s">
        <v>514</v>
      </c>
      <c r="B7" s="270" t="str">
        <f>'HECVAT - Full | Vendor Response'!C13</f>
        <v>Laura Francabandera</v>
      </c>
      <c r="C7" s="270"/>
      <c r="D7" s="82"/>
      <c r="E7" s="82"/>
      <c r="F7" s="70" t="s">
        <v>515</v>
      </c>
      <c r="G7" s="349" t="str">
        <f>'HECVAT - Full | Vendor Response'!C10</f>
        <v>Weave’s accreditation software is uniquely designed for institutional effectiveness and empowers higher education leaders to prepare for their institutional and programmatic accreditations.</v>
      </c>
      <c r="H7" s="349"/>
      <c r="I7" s="349"/>
    </row>
    <row r="8" spans="1:9" s="12" customFormat="1" ht="48" customHeight="1">
      <c r="A8" s="70" t="s">
        <v>516</v>
      </c>
      <c r="B8" s="343" t="str">
        <f>'HECVAT - Full | Vendor Response'!C14</f>
        <v>Compliance Consultant</v>
      </c>
      <c r="C8" s="344"/>
      <c r="D8" s="83"/>
      <c r="E8" s="83"/>
      <c r="F8" s="70" t="s">
        <v>517</v>
      </c>
      <c r="G8" s="349" t="s">
        <v>518</v>
      </c>
      <c r="H8" s="349"/>
      <c r="I8" s="349"/>
    </row>
    <row r="9" spans="1:9" s="12" customFormat="1" ht="48" customHeight="1">
      <c r="A9" s="70" t="s">
        <v>519</v>
      </c>
      <c r="B9" s="270" t="str">
        <f>'HECVAT - Full | Vendor Response'!C15</f>
        <v>laura@weaveeducation.com</v>
      </c>
      <c r="C9" s="270"/>
      <c r="D9" s="84"/>
      <c r="E9" s="84"/>
      <c r="F9" s="70" t="s">
        <v>520</v>
      </c>
      <c r="G9" s="337">
        <f>'HECVAT - Full | Vendor Response'!C4</f>
        <v>45922</v>
      </c>
      <c r="H9" s="337"/>
      <c r="I9" s="337"/>
    </row>
    <row r="10" spans="1:9" s="12" customFormat="1" ht="24.75" customHeight="1" thickBot="1">
      <c r="A10" s="81"/>
      <c r="B10" s="106"/>
      <c r="C10" s="106"/>
      <c r="D10" s="137"/>
      <c r="E10" s="138"/>
      <c r="F10" s="138"/>
      <c r="G10" s="139"/>
      <c r="H10" s="139"/>
      <c r="I10" s="139"/>
    </row>
    <row r="11" spans="1:9" s="12" customFormat="1" ht="48" customHeight="1" thickBot="1">
      <c r="A11" s="325" t="s">
        <v>521</v>
      </c>
      <c r="B11" s="326"/>
      <c r="C11" s="140"/>
      <c r="D11" s="138"/>
      <c r="E11" s="138"/>
      <c r="F11" s="138"/>
      <c r="G11" s="138"/>
      <c r="H11" s="138"/>
      <c r="I11" s="138"/>
    </row>
    <row r="12" spans="1:9" s="69" customFormat="1" ht="24" customHeight="1" thickBot="1">
      <c r="A12" s="331"/>
      <c r="B12" s="331"/>
      <c r="C12" s="331"/>
    </row>
    <row r="13" spans="1:9" ht="37.5" customHeight="1" thickBot="1">
      <c r="C13" s="107" t="s">
        <v>522</v>
      </c>
      <c r="D13" s="108" t="s">
        <v>523</v>
      </c>
      <c r="E13" s="329" t="s">
        <v>524</v>
      </c>
      <c r="F13" s="330"/>
      <c r="G13" s="110" t="s">
        <v>525</v>
      </c>
    </row>
    <row r="14" spans="1:9" s="62" customFormat="1" ht="37.5" customHeight="1">
      <c r="C14" s="111" t="str">
        <f>Values!C2</f>
        <v>Company</v>
      </c>
      <c r="D14" s="112">
        <f>Values!H2</f>
        <v>80</v>
      </c>
      <c r="E14" s="338">
        <f>Values!G2</f>
        <v>50</v>
      </c>
      <c r="F14" s="339"/>
      <c r="G14" s="113">
        <f>Values!I2</f>
        <v>0.625</v>
      </c>
    </row>
    <row r="15" spans="1:9" s="62" customFormat="1" ht="37.5" customHeight="1">
      <c r="C15" s="114" t="str">
        <f>Values!C3</f>
        <v>Documentation</v>
      </c>
      <c r="D15" s="115">
        <f>Values!H3</f>
        <v>220</v>
      </c>
      <c r="E15" s="327">
        <f>Values!G3</f>
        <v>140</v>
      </c>
      <c r="F15" s="328"/>
      <c r="G15" s="116">
        <f>Values!I3</f>
        <v>0.63636363636363635</v>
      </c>
    </row>
    <row r="16" spans="1:9" s="62" customFormat="1" ht="37.5" customHeight="1">
      <c r="C16" s="114" t="str">
        <f>Values!C4</f>
        <v>Accessibility</v>
      </c>
      <c r="D16" s="115">
        <f>Values!H4</f>
        <v>225</v>
      </c>
      <c r="E16" s="327">
        <f>Values!G4</f>
        <v>200</v>
      </c>
      <c r="F16" s="328"/>
      <c r="G16" s="116">
        <f>Values!I4</f>
        <v>0.88888888888888884</v>
      </c>
    </row>
    <row r="17" spans="3:7" s="62" customFormat="1" ht="37.5" customHeight="1">
      <c r="C17" s="114" t="str">
        <f>Values!C5</f>
        <v>Third Parties</v>
      </c>
      <c r="D17" s="115">
        <f>Values!H5</f>
        <v>85</v>
      </c>
      <c r="E17" s="327">
        <f>Values!G5</f>
        <v>55</v>
      </c>
      <c r="F17" s="328"/>
      <c r="G17" s="116">
        <f>Values!I5</f>
        <v>0.6470588235294118</v>
      </c>
    </row>
    <row r="18" spans="3:7" s="62" customFormat="1" ht="37.5" customHeight="1">
      <c r="C18" s="114" t="str">
        <f>Values!C6</f>
        <v>Consulting</v>
      </c>
      <c r="D18" s="115">
        <f>Values!H6</f>
        <v>0</v>
      </c>
      <c r="E18" s="327">
        <f>Values!G6</f>
        <v>0</v>
      </c>
      <c r="F18" s="328"/>
      <c r="G18" s="116">
        <f>Values!I6</f>
        <v>0</v>
      </c>
    </row>
    <row r="19" spans="3:7" s="62" customFormat="1" ht="37.5" customHeight="1">
      <c r="C19" s="114" t="str">
        <f>Values!C7</f>
        <v>Application Security</v>
      </c>
      <c r="D19" s="115">
        <f>Values!H7</f>
        <v>300</v>
      </c>
      <c r="E19" s="327">
        <f>Values!G7</f>
        <v>300</v>
      </c>
      <c r="F19" s="328"/>
      <c r="G19" s="116">
        <f>Values!I7</f>
        <v>1</v>
      </c>
    </row>
    <row r="20" spans="3:7" s="62" customFormat="1" ht="37.5" customHeight="1">
      <c r="C20" s="117" t="str">
        <f>Values!C8</f>
        <v>Authentication, Authorization, and Accounting</v>
      </c>
      <c r="D20" s="115">
        <f>Values!H8</f>
        <v>445</v>
      </c>
      <c r="E20" s="327">
        <f>Values!G8</f>
        <v>250</v>
      </c>
      <c r="F20" s="328"/>
      <c r="G20" s="116">
        <f>Values!I8</f>
        <v>0.5617977528089888</v>
      </c>
    </row>
    <row r="21" spans="3:7" s="62" customFormat="1" ht="37.5" customHeight="1">
      <c r="C21" s="114" t="str">
        <f>Values!C9</f>
        <v>Business Continuity Plan</v>
      </c>
      <c r="D21" s="115">
        <f>Values!H9</f>
        <v>210</v>
      </c>
      <c r="E21" s="327">
        <f>Values!G9</f>
        <v>210</v>
      </c>
      <c r="F21" s="328"/>
      <c r="G21" s="116">
        <f>Values!I9</f>
        <v>1</v>
      </c>
    </row>
    <row r="22" spans="3:7" s="62" customFormat="1" ht="37.5" customHeight="1">
      <c r="C22" s="114" t="str">
        <f>Values!C10</f>
        <v>Change Management</v>
      </c>
      <c r="D22" s="115">
        <f>Values!H10</f>
        <v>270</v>
      </c>
      <c r="E22" s="327">
        <f>Values!G10</f>
        <v>260</v>
      </c>
      <c r="F22" s="328"/>
      <c r="G22" s="116">
        <f>Values!I10</f>
        <v>0.96296296296296291</v>
      </c>
    </row>
    <row r="23" spans="3:7" s="62" customFormat="1" ht="37.5" customHeight="1">
      <c r="C23" s="114" t="str">
        <f>Values!C11</f>
        <v>Data</v>
      </c>
      <c r="D23" s="115">
        <f>Values!H11</f>
        <v>495</v>
      </c>
      <c r="E23" s="327">
        <f>Values!G11</f>
        <v>415</v>
      </c>
      <c r="F23" s="328"/>
      <c r="G23" s="116">
        <f>Values!I11</f>
        <v>0.83838383838383834</v>
      </c>
    </row>
    <row r="24" spans="3:7" s="62" customFormat="1" ht="37.5" customHeight="1">
      <c r="C24" s="114" t="str">
        <f>Values!C12</f>
        <v>Datacenter</v>
      </c>
      <c r="D24" s="115">
        <f>Values!H12</f>
        <v>140</v>
      </c>
      <c r="E24" s="327">
        <f>Values!G12</f>
        <v>100</v>
      </c>
      <c r="F24" s="328"/>
      <c r="G24" s="116">
        <f>Values!I12</f>
        <v>0.7142857142857143</v>
      </c>
    </row>
    <row r="25" spans="3:7" s="62" customFormat="1" ht="37.5" customHeight="1">
      <c r="C25" s="114" t="str">
        <f>Values!C13</f>
        <v>Disaster Recovery Plan</v>
      </c>
      <c r="D25" s="115">
        <f>Values!H13</f>
        <v>230</v>
      </c>
      <c r="E25" s="327">
        <f>Values!G13</f>
        <v>170</v>
      </c>
      <c r="F25" s="328"/>
      <c r="G25" s="116">
        <f>Values!I13</f>
        <v>0.73913043478260865</v>
      </c>
    </row>
    <row r="26" spans="3:7" s="62" customFormat="1" ht="37.5" customHeight="1">
      <c r="C26" s="117" t="str">
        <f>Values!C14</f>
        <v>Firewalls, IDS, IPS, and Networking</v>
      </c>
      <c r="D26" s="115">
        <f>Values!H14</f>
        <v>240</v>
      </c>
      <c r="E26" s="327">
        <f>Values!G14</f>
        <v>240</v>
      </c>
      <c r="F26" s="328"/>
      <c r="G26" s="116">
        <f>Values!I14</f>
        <v>1</v>
      </c>
    </row>
    <row r="27" spans="3:7" s="62" customFormat="1" ht="37.5" customHeight="1">
      <c r="C27" s="117" t="str">
        <f>Values!C15</f>
        <v>Policies, Procedures, and Processes</v>
      </c>
      <c r="D27" s="115">
        <f>Values!H15</f>
        <v>300</v>
      </c>
      <c r="E27" s="327">
        <f>Values!G15</f>
        <v>300</v>
      </c>
      <c r="F27" s="328"/>
      <c r="G27" s="116">
        <f>Values!I15</f>
        <v>1</v>
      </c>
    </row>
    <row r="28" spans="3:7" s="62" customFormat="1" ht="37.5" customHeight="1">
      <c r="C28" s="114" t="str">
        <f>Values!C16</f>
        <v>Incident Handling</v>
      </c>
      <c r="D28" s="115">
        <f>Values!H16</f>
        <v>60</v>
      </c>
      <c r="E28" s="327">
        <f>Values!G16</f>
        <v>45</v>
      </c>
      <c r="F28" s="328"/>
      <c r="G28" s="116">
        <f>Values!I16</f>
        <v>0.75</v>
      </c>
    </row>
    <row r="29" spans="3:7" s="62" customFormat="1" ht="37.5" customHeight="1">
      <c r="C29" s="114" t="str">
        <f>Values!C17</f>
        <v>Quality Assurance</v>
      </c>
      <c r="D29" s="115">
        <f>Values!H17</f>
        <v>90</v>
      </c>
      <c r="E29" s="327">
        <f>Values!G17</f>
        <v>75</v>
      </c>
      <c r="F29" s="328"/>
      <c r="G29" s="116">
        <f>Values!I17</f>
        <v>0.83333333333333337</v>
      </c>
    </row>
    <row r="30" spans="3:7" s="62" customFormat="1" ht="37.5" customHeight="1">
      <c r="C30" s="114" t="str">
        <f>Values!C18</f>
        <v>Vulnerability Scanning</v>
      </c>
      <c r="D30" s="115">
        <f>Values!H18</f>
        <v>130</v>
      </c>
      <c r="E30" s="327">
        <f>Values!G18</f>
        <v>40</v>
      </c>
      <c r="F30" s="328"/>
      <c r="G30" s="116">
        <f>Values!I18</f>
        <v>0.30769230769230771</v>
      </c>
    </row>
    <row r="31" spans="3:7" s="62" customFormat="1" ht="37.5" customHeight="1">
      <c r="C31" s="114" t="str">
        <f>Values!C19</f>
        <v>HIPAA</v>
      </c>
      <c r="D31" s="115">
        <f>Values!H19</f>
        <v>0</v>
      </c>
      <c r="E31" s="327">
        <f>Values!G19</f>
        <v>0</v>
      </c>
      <c r="F31" s="328"/>
      <c r="G31" s="116">
        <f>Values!I19</f>
        <v>0</v>
      </c>
    </row>
    <row r="32" spans="3:7" s="62" customFormat="1" ht="37.5" customHeight="1">
      <c r="C32" s="114" t="str">
        <f>Values!C20</f>
        <v>PCI-DSS</v>
      </c>
      <c r="D32" s="115">
        <f>Values!H20</f>
        <v>0</v>
      </c>
      <c r="E32" s="327">
        <f>Values!G20</f>
        <v>0</v>
      </c>
      <c r="F32" s="328"/>
      <c r="G32" s="116">
        <f>Values!I20</f>
        <v>0</v>
      </c>
    </row>
    <row r="33" spans="1:10" s="62" customFormat="1" ht="37.5" customHeight="1" thickBot="1">
      <c r="C33" s="118"/>
      <c r="D33" s="119"/>
      <c r="E33" s="333">
        <f>Values!G21</f>
        <v>2850</v>
      </c>
      <c r="F33" s="334"/>
      <c r="G33" s="120"/>
    </row>
    <row r="34" spans="1:10" s="13" customFormat="1" ht="37.5" customHeight="1" thickBot="1">
      <c r="C34" s="107" t="s">
        <v>526</v>
      </c>
      <c r="D34" s="108">
        <f>Values!H21</f>
        <v>3520</v>
      </c>
      <c r="E34" s="335">
        <f>Values!G21</f>
        <v>2850</v>
      </c>
      <c r="F34" s="336"/>
      <c r="G34" s="109">
        <f>Values!I21</f>
        <v>0.80965909090909094</v>
      </c>
      <c r="H34" s="236" t="s">
        <v>91</v>
      </c>
    </row>
    <row r="35" spans="1:10" ht="17.100000000000001" thickBot="1"/>
    <row r="36" spans="1:10" ht="41.25" customHeight="1" thickBot="1">
      <c r="A36" s="321"/>
      <c r="B36" s="322"/>
      <c r="C36" s="322"/>
      <c r="D36" s="323"/>
      <c r="E36" s="141" t="s">
        <v>97</v>
      </c>
      <c r="F36" s="325" t="s">
        <v>527</v>
      </c>
      <c r="G36" s="332"/>
      <c r="H36" s="332"/>
      <c r="I36" s="326"/>
    </row>
    <row r="37" spans="1:10" s="61" customFormat="1" ht="48" customHeight="1" thickBot="1">
      <c r="A37" s="161" t="s">
        <v>528</v>
      </c>
      <c r="B37" s="159" t="s">
        <v>529</v>
      </c>
      <c r="C37" s="159" t="s">
        <v>530</v>
      </c>
      <c r="D37" s="160" t="s">
        <v>95</v>
      </c>
      <c r="E37" s="142" t="s">
        <v>531</v>
      </c>
      <c r="F37" s="158" t="s">
        <v>532</v>
      </c>
      <c r="G37" s="159" t="s">
        <v>533</v>
      </c>
      <c r="H37" s="159" t="s">
        <v>534</v>
      </c>
      <c r="I37" s="160" t="s">
        <v>535</v>
      </c>
    </row>
    <row r="38" spans="1:10" s="61" customFormat="1" ht="36" customHeight="1">
      <c r="A38" s="324" t="str">
        <f>'HECVAT - Full | Vendor Response'!A34</f>
        <v>Company Overview</v>
      </c>
      <c r="B38" s="324"/>
      <c r="C38" s="121" t="s">
        <v>530</v>
      </c>
      <c r="D38" s="122" t="s">
        <v>95</v>
      </c>
      <c r="E38" s="123" t="s">
        <v>97</v>
      </c>
      <c r="F38" s="156" t="s">
        <v>532</v>
      </c>
      <c r="G38" s="121" t="s">
        <v>533</v>
      </c>
      <c r="H38" s="121" t="s">
        <v>534</v>
      </c>
      <c r="I38" s="157" t="s">
        <v>535</v>
      </c>
    </row>
    <row r="39" spans="1:10" ht="48" customHeight="1">
      <c r="A39" s="124" t="str">
        <f>'HECVAT - Full | Vendor Response'!A35</f>
        <v>COMP-01</v>
      </c>
      <c r="B39" s="124" t="str">
        <f>'HECVAT - Full | Vendor Response'!B35</f>
        <v>Describe your organization’s business background and ownership structure, including all parent and subsidiary relationships.</v>
      </c>
      <c r="C39" s="317" t="str">
        <f>'HECVAT - Full | Vendor Response'!C35</f>
        <v>Initially developed by faculty and administrators at Virginia Commonwealth University to address assessment within the context of accreditation, Weave is both a software application and a community of expertise. Over 300 institutions have trusted Weave as their accreditation, assessment, and planning solution. Our legacy application, WEAVEonline, was the first solution licensed outside of VCU in 2004. Centrieva, LLC, the parent company of Weave’s services, was formed as a corporate entity in 2006. In 2023, Centrieva, LLC changed to Weave Education, LLC.</v>
      </c>
      <c r="D39" s="318"/>
      <c r="E39" s="143" t="s">
        <v>115</v>
      </c>
      <c r="F39" s="201" t="s">
        <v>536</v>
      </c>
      <c r="G39" s="208"/>
      <c r="H39" s="202">
        <f>VLOOKUP(A39,Questions!B$25:T$295,16,FALSE)</f>
        <v>15</v>
      </c>
      <c r="I39" s="206"/>
    </row>
    <row r="40" spans="1:10" ht="48" customHeight="1">
      <c r="A40" s="65" t="str">
        <f>'HECVAT - Full | Vendor Response'!A36</f>
        <v>COMP-02</v>
      </c>
      <c r="B40" s="65" t="str">
        <f>'HECVAT - Full | Vendor Response'!B36</f>
        <v>Have you had an unplanned disruption to this product/service in the past 12 months?</v>
      </c>
      <c r="C40" s="125" t="str">
        <f>'HECVAT - Full | Vendor Response'!C36</f>
        <v>No</v>
      </c>
      <c r="D40" s="131" t="str">
        <f>'HECVAT - Full | Vendor Response'!D36</f>
        <v xml:space="preserve"> </v>
      </c>
      <c r="E40" s="143" t="s">
        <v>115</v>
      </c>
      <c r="F40" s="201" t="str">
        <f>VLOOKUP($A40,Questions!B$3:T$256,12,FALSE)</f>
        <v>No</v>
      </c>
      <c r="G40" s="208"/>
      <c r="H40" s="202">
        <f>VLOOKUP(A40,Questions!B$25:T$295,16,FALSE)</f>
        <v>10</v>
      </c>
      <c r="I40" s="206"/>
    </row>
    <row r="41" spans="1:10" ht="48" customHeight="1">
      <c r="A41" s="65" t="str">
        <f>'HECVAT - Full | Vendor Response'!A37</f>
        <v>COMP-03</v>
      </c>
      <c r="B41" s="65" t="str">
        <f>'HECVAT - Full | Vendor Response'!B37</f>
        <v>Do you have a dedicated Information Security staff or office?</v>
      </c>
      <c r="C41" s="125" t="str">
        <f>'HECVAT - Full | Vendor Response'!C37</f>
        <v>Yes</v>
      </c>
      <c r="D41" s="131" t="str">
        <f>'HECVAT - Full | Vendor Response'!D37</f>
        <v>The Information Security team includes the Security Manager, System Owner, Compliance Consultant, and CTO.</v>
      </c>
      <c r="E41" s="143" t="s">
        <v>115</v>
      </c>
      <c r="F41" s="201" t="str">
        <f>VLOOKUP($A41,Questions!B$3:T$256,12,FALSE)</f>
        <v>Yes</v>
      </c>
      <c r="G41" s="208"/>
      <c r="H41" s="202">
        <f>VLOOKUP(A41,Questions!B$25:T$295,16,FALSE)</f>
        <v>15</v>
      </c>
      <c r="I41" s="206"/>
    </row>
    <row r="42" spans="1:10" ht="48" customHeight="1">
      <c r="A42" s="65" t="str">
        <f>'HECVAT - Full | Vendor Response'!A38</f>
        <v>COMP-04</v>
      </c>
      <c r="B42" s="65" t="str">
        <f>'HECVAT - Full | Vendor Response'!B38</f>
        <v>Do you have a dedicated Software and System Development team(s)? (e.g., Customer Support, Implementation, Product Management, etc.)</v>
      </c>
      <c r="C42" s="125" t="str">
        <f>'HECVAT - Full | Vendor Response'!C38</f>
        <v>Yes</v>
      </c>
      <c r="D42" s="131" t="str">
        <f>'HECVAT - Full | Vendor Response'!D38</f>
        <v xml:space="preserve"> The Software and System Development teams include a product manager, 2 developers, a UX designer, lead engineer, quality assurance, and a security manager</v>
      </c>
      <c r="E42" s="143" t="s">
        <v>115</v>
      </c>
      <c r="F42" s="201" t="str">
        <f>VLOOKUP($A42,Questions!B$3:T$256,12,FALSE)</f>
        <v>Yes</v>
      </c>
      <c r="G42" s="208"/>
      <c r="H42" s="202">
        <f>VLOOKUP(A42,Questions!B$25:T$295,16,FALSE)</f>
        <v>25</v>
      </c>
      <c r="I42" s="206"/>
    </row>
    <row r="43" spans="1:10" ht="48" customHeight="1">
      <c r="A43" s="124" t="str">
        <f>'HECVAT - Full | Vendor Response'!A39</f>
        <v>COMP-05</v>
      </c>
      <c r="B43" s="124" t="str">
        <f>'HECVAT - Full | Vendor Response'!B39</f>
        <v>Use this area to share information about your environment that will assist those who are assessing your company data security program.</v>
      </c>
      <c r="C43" s="317" t="str">
        <f>'HECVAT - Full | Vendor Response'!C39</f>
        <v>Security training is reviewed by security team quarterly and training is updated as needed. Employees are expected to participate in training and are tested annually to confirm compliance and understanding of policies. Security training is reviewed by security team quarterly and training is updated as needed. Employees are expected to participate in training and are tested annually to confirm compliance and understanding of policies. New employees onboarding process including security training, quiz, signed Code of Conduct and Rules of Behavior, background checks, understanding and accpetance of Weave's Security Policy</v>
      </c>
      <c r="D43" s="318">
        <f>'HECVAT - Full | Vendor Response'!D39</f>
        <v>0</v>
      </c>
      <c r="E43" s="143" t="s">
        <v>115</v>
      </c>
      <c r="F43" s="201" t="s">
        <v>536</v>
      </c>
      <c r="G43" s="208"/>
      <c r="H43" s="202">
        <f>VLOOKUP(A43,Questions!B$25:T$295,16,FALSE)</f>
        <v>15</v>
      </c>
      <c r="I43" s="206"/>
      <c r="J43" s="240"/>
    </row>
    <row r="44" spans="1:10" s="61" customFormat="1" ht="36" customHeight="1">
      <c r="A44" s="320" t="s">
        <v>35</v>
      </c>
      <c r="B44" s="320"/>
      <c r="C44" s="126" t="s">
        <v>530</v>
      </c>
      <c r="D44" s="132" t="s">
        <v>95</v>
      </c>
      <c r="E44" s="134" t="s">
        <v>97</v>
      </c>
      <c r="F44" s="135" t="s">
        <v>532</v>
      </c>
      <c r="G44" s="126" t="s">
        <v>533</v>
      </c>
      <c r="H44" s="126" t="s">
        <v>534</v>
      </c>
      <c r="I44" s="136" t="s">
        <v>535</v>
      </c>
    </row>
    <row r="45" spans="1:10" s="61" customFormat="1" ht="48" customHeight="1">
      <c r="A45" s="65" t="str">
        <f>'HECVAT - Full | Vendor Response'!A41</f>
        <v>DOCU-01</v>
      </c>
      <c r="B45" s="65" t="str">
        <f>'HECVAT - Full | Vendor Response'!B41</f>
        <v>Have you undergone a SSAE 18/SOC 2 audit?</v>
      </c>
      <c r="C45" s="65" t="str">
        <f>'HECVAT - Full | Vendor Response'!C41</f>
        <v>No</v>
      </c>
      <c r="D45" s="133" t="str">
        <f>'HECVAT - Full | Vendor Response'!D41</f>
        <v>Weave Education uses Amazon AWS for IaaC. Amazon's SOC 2 and 3 reports are available via AWS Artifact.</v>
      </c>
      <c r="E45" s="144" t="s">
        <v>115</v>
      </c>
      <c r="F45" s="199" t="str">
        <f>VLOOKUP($A45,Questions!B$3:T$256,12,FALSE)</f>
        <v>Yes</v>
      </c>
      <c r="G45" s="208"/>
      <c r="H45" s="200">
        <f>VLOOKUP(A45,Questions!B$25:T$295,16,TRUE)</f>
        <v>20</v>
      </c>
      <c r="I45" s="206"/>
    </row>
    <row r="46" spans="1:10" s="61" customFormat="1" ht="48" customHeight="1">
      <c r="A46" s="65" t="str">
        <f>'HECVAT - Full | Vendor Response'!A42</f>
        <v>DOCU-02</v>
      </c>
      <c r="B46" s="65" t="str">
        <f>'HECVAT - Full | Vendor Response'!B42</f>
        <v>Have you completed the Cloud Security Alliance (CSA) self assessment or CAIQ?</v>
      </c>
      <c r="C46" s="65" t="str">
        <f>'HECVAT - Full | Vendor Response'!C42</f>
        <v>No</v>
      </c>
      <c r="D46" s="133" t="str">
        <f>'HECVAT - Full | Vendor Response'!D42</f>
        <v>CAIQ is currently in progress and exptected to be completed by end of 2025</v>
      </c>
      <c r="E46" s="144" t="s">
        <v>115</v>
      </c>
      <c r="F46" s="199" t="str">
        <f>VLOOKUP($A46,Questions!B$3:T$256,12,FALSE)</f>
        <v>Yes</v>
      </c>
      <c r="G46" s="208"/>
      <c r="H46" s="200">
        <f>VLOOKUP(A46,Questions!B$25:T$295,16,TRUE)</f>
        <v>20</v>
      </c>
      <c r="I46" s="206"/>
    </row>
    <row r="47" spans="1:10" s="61" customFormat="1" ht="48" customHeight="1">
      <c r="A47" s="65" t="str">
        <f>'HECVAT - Full | Vendor Response'!A43</f>
        <v>DOCU-03</v>
      </c>
      <c r="B47" s="65" t="str">
        <f>'HECVAT - Full | Vendor Response'!B43</f>
        <v>Have you received the Cloud Security Alliance STAR certification?</v>
      </c>
      <c r="C47" s="65" t="str">
        <f>'HECVAT - Full | Vendor Response'!C43</f>
        <v>No</v>
      </c>
      <c r="D47" s="133" t="str">
        <f>'HECVAT - Full | Vendor Response'!D43</f>
        <v xml:space="preserve"> Expected in early 2026</v>
      </c>
      <c r="E47" s="144" t="s">
        <v>115</v>
      </c>
      <c r="F47" s="199" t="str">
        <f>VLOOKUP($A47,Questions!B$3:T$256,12,FALSE)</f>
        <v>Yes</v>
      </c>
      <c r="G47" s="208"/>
      <c r="H47" s="200">
        <f>VLOOKUP(A47,Questions!B$25:T$295,16,TRUE)</f>
        <v>20</v>
      </c>
      <c r="I47" s="206"/>
    </row>
    <row r="48" spans="1:10" s="61" customFormat="1" ht="48" customHeight="1">
      <c r="A48" s="65" t="str">
        <f>'HECVAT - Full | Vendor Response'!A44</f>
        <v>DOCU-04</v>
      </c>
      <c r="B48" s="65" t="str">
        <f>'HECVAT - Full | Vendor Response'!B44</f>
        <v>Do you conform with a specific industry standard security framework? (e.g., NIST Cybersecurity Framework, CIS Controls, ISO 27001, etc.)</v>
      </c>
      <c r="C48" s="65" t="str">
        <f>'HECVAT - Full | Vendor Response'!C44</f>
        <v>Yes</v>
      </c>
      <c r="D48" s="133" t="str">
        <f>'HECVAT - Full | Vendor Response'!D44</f>
        <v xml:space="preserve"> Weave is certified on its NIST Cybsersecurity Framework by being TX-RAMP Level 2 provisionally certified. </v>
      </c>
      <c r="E48" s="144" t="s">
        <v>115</v>
      </c>
      <c r="F48" s="199" t="str">
        <f>VLOOKUP($A48,Questions!B$3:T$256,12,FALSE)</f>
        <v>Yes</v>
      </c>
      <c r="G48" s="208"/>
      <c r="H48" s="200">
        <f>VLOOKUP(A48,Questions!B$25:T$295,16,TRUE)</f>
        <v>20</v>
      </c>
      <c r="I48" s="206"/>
    </row>
    <row r="49" spans="1:10" s="61" customFormat="1" ht="48" customHeight="1">
      <c r="A49" s="65" t="str">
        <f>'HECVAT - Full | Vendor Response'!A45</f>
        <v>DOCU-05</v>
      </c>
      <c r="B49" s="65" t="str">
        <f>'HECVAT - Full | Vendor Response'!B45</f>
        <v>Can the systems that hold the institution's data be compliant with NIST SP 800-171 and/or CMMC Level 2 standards?</v>
      </c>
      <c r="C49" s="65" t="str">
        <f>'HECVAT - Full | Vendor Response'!C45</f>
        <v>No</v>
      </c>
      <c r="D49" s="133" t="str">
        <f>'HECVAT - Full | Vendor Response'!D45</f>
        <v xml:space="preserve">Weave is partially compliant because it built its security program around the NIST 800-53 framework. Currently Weave does not plan on CMMC certification. </v>
      </c>
      <c r="E49" s="144" t="s">
        <v>115</v>
      </c>
      <c r="F49" s="199" t="str">
        <f>VLOOKUP($A49,Questions!B$3:T$256,12,FALSE)</f>
        <v>Yes</v>
      </c>
      <c r="G49" s="208"/>
      <c r="H49" s="200">
        <f>VLOOKUP(A49,Questions!B$25:T$295,16,TRUE)</f>
        <v>20</v>
      </c>
      <c r="I49" s="206"/>
    </row>
    <row r="50" spans="1:10" s="61" customFormat="1" ht="48" customHeight="1">
      <c r="A50" s="65" t="str">
        <f>'HECVAT - Full | Vendor Response'!A46</f>
        <v>DOCU-06</v>
      </c>
      <c r="B50" s="65" t="str">
        <f>'HECVAT - Full | Vendor Response'!B46</f>
        <v>Can you provide overall system and/or application architecture diagrams, including a full description of the data flow for all components of the system?</v>
      </c>
      <c r="C50" s="65" t="str">
        <f>'HECVAT - Full | Vendor Response'!C46</f>
        <v>Yes</v>
      </c>
      <c r="D50" s="133" t="str">
        <f>'HECVAT - Full | Vendor Response'!D46</f>
        <v xml:space="preserve"> Network and data flow diagrams are available upon request and system owner approval.</v>
      </c>
      <c r="E50" s="144" t="s">
        <v>115</v>
      </c>
      <c r="F50" s="199" t="str">
        <f>VLOOKUP($A50,Questions!B$3:T$256,12,FALSE)</f>
        <v>Yes</v>
      </c>
      <c r="G50" s="208"/>
      <c r="H50" s="200">
        <f>VLOOKUP(A50,Questions!B$25:T$295,16,TRUE)</f>
        <v>20</v>
      </c>
      <c r="I50" s="206"/>
    </row>
    <row r="51" spans="1:10" s="61" customFormat="1" ht="48" customHeight="1">
      <c r="A51" s="65" t="str">
        <f>'HECVAT - Full | Vendor Response'!A47</f>
        <v>DOCU-07</v>
      </c>
      <c r="B51" s="65" t="str">
        <f>'HECVAT - Full | Vendor Response'!B47</f>
        <v>Does your organization have a data privacy policy?</v>
      </c>
      <c r="C51" s="65" t="str">
        <f>'HECVAT - Full | Vendor Response'!C47</f>
        <v>Yes</v>
      </c>
      <c r="D51" s="133" t="str">
        <f>'HECVAT - Full | Vendor Response'!D47</f>
        <v>https://weaveeducation.com/privacy-policy/</v>
      </c>
      <c r="E51" s="144" t="s">
        <v>115</v>
      </c>
      <c r="F51" s="199" t="str">
        <f>VLOOKUP($A51,Questions!B$3:T$256,12,FALSE)</f>
        <v>Yes</v>
      </c>
      <c r="G51" s="208"/>
      <c r="H51" s="200">
        <f>VLOOKUP(A51,Questions!B$25:T$295,16,TRUE)</f>
        <v>20</v>
      </c>
      <c r="I51" s="206"/>
    </row>
    <row r="52" spans="1:10" s="61" customFormat="1" ht="48" customHeight="1">
      <c r="A52" s="65" t="str">
        <f>'HECVAT - Full | Vendor Response'!A48</f>
        <v>DOCU-08</v>
      </c>
      <c r="B52" s="65" t="str">
        <f>'HECVAT - Full | Vendor Response'!B48</f>
        <v>Do you have a documented, and currently implemented, employee onboarding and offboarding policy?</v>
      </c>
      <c r="C52" s="65" t="str">
        <f>'HECVAT - Full | Vendor Response'!C48</f>
        <v>Yes</v>
      </c>
      <c r="D52" s="133" t="str">
        <f>'HECVAT - Full | Vendor Response'!D48</f>
        <v>Weave Education has a Personnel Security policy and procedure, which includes processes for employee onboarding, offboarding, and transfers.</v>
      </c>
      <c r="E52" s="144" t="s">
        <v>115</v>
      </c>
      <c r="F52" s="199" t="str">
        <f>VLOOKUP($A52,Questions!B$3:T$256,12,FALSE)</f>
        <v>Yes</v>
      </c>
      <c r="G52" s="208"/>
      <c r="H52" s="200">
        <f>VLOOKUP(A52,Questions!B$25:T$295,16,TRUE)</f>
        <v>20</v>
      </c>
      <c r="I52" s="206"/>
    </row>
    <row r="53" spans="1:10" s="61" customFormat="1" ht="48" customHeight="1">
      <c r="A53" s="65" t="str">
        <f>'HECVAT - Full | Vendor Response'!A49</f>
        <v>DOCU-09</v>
      </c>
      <c r="B53" s="65" t="str">
        <f>'HECVAT - Full | Vendor Response'!B49</f>
        <v>Do you have a documented change management process?</v>
      </c>
      <c r="C53" s="65" t="str">
        <f>'HECVAT - Full | Vendor Response'!C49</f>
        <v>Yes</v>
      </c>
      <c r="D53" s="133" t="str">
        <f>'HECVAT - Full | Vendor Response'!D49</f>
        <v>Weave Education developed and documented the baseline configuration for the platform and its components / services. As changes are made to the configuration baseline through releases deployed to the platform, the System Administrators maintain the baseline configuration to reflect the current configuration. With each release or change, the Security Manager completes a security review and either approves the change or sends it back.</v>
      </c>
      <c r="E53" s="144" t="s">
        <v>115</v>
      </c>
      <c r="F53" s="199" t="str">
        <f>VLOOKUP($A53,Questions!B$3:T$256,12,FALSE)</f>
        <v>Yes</v>
      </c>
      <c r="G53" s="208"/>
      <c r="H53" s="200">
        <f>VLOOKUP(A53,Questions!B$25:T$295,16,TRUE)</f>
        <v>20</v>
      </c>
      <c r="I53" s="206"/>
    </row>
    <row r="54" spans="1:10" s="61" customFormat="1" ht="48" customHeight="1">
      <c r="A54" s="65" t="str">
        <f>'HECVAT - Full | Vendor Response'!A50</f>
        <v>DOCU-10</v>
      </c>
      <c r="B54" s="65" t="str">
        <f>'HECVAT - Full | Vendor Response'!B50</f>
        <v>Has a VPAT or ACR been created or updated for the product and version under consideration within the past year?</v>
      </c>
      <c r="C54" s="65" t="str">
        <f>'HECVAT - Full | Vendor Response'!C50</f>
        <v>Yes</v>
      </c>
      <c r="D54" s="133" t="str">
        <f>'HECVAT - Full | Vendor Response'!D50</f>
        <v>Yes. Weave is WCAG 2.1 Level AA compliant. A VPAT, dated 9/1/25, can be found online and or upon request.</v>
      </c>
      <c r="E54" s="144" t="s">
        <v>115</v>
      </c>
      <c r="F54" s="199" t="str">
        <f>VLOOKUP($A54,Questions!B$3:T$256,12,FALSE)</f>
        <v>Yes</v>
      </c>
      <c r="G54" s="208"/>
      <c r="H54" s="200">
        <f>VLOOKUP(A54,Questions!B$25:T$295,16,TRUE)</f>
        <v>20</v>
      </c>
      <c r="I54" s="206"/>
    </row>
    <row r="55" spans="1:10" s="61" customFormat="1" ht="48" customHeight="1">
      <c r="A55" s="65" t="str">
        <f>'HECVAT - Full | Vendor Response'!A51</f>
        <v>DOCU-11</v>
      </c>
      <c r="B55" s="65" t="str">
        <f>'HECVAT - Full | Vendor Response'!B51</f>
        <v>Do you have documentation to support the accessibility features of your product?</v>
      </c>
      <c r="C55" s="65" t="str">
        <f>'HECVAT - Full | Vendor Response'!C51</f>
        <v>Yes</v>
      </c>
      <c r="D55" s="133" t="str">
        <f>'HECVAT - Full | Vendor Response'!D51</f>
        <v>Accessibility documentation for the platform will be available upon request.</v>
      </c>
      <c r="E55" s="144" t="s">
        <v>115</v>
      </c>
      <c r="F55" s="199" t="str">
        <f>VLOOKUP($A55,Questions!B$3:T$256,12,FALSE)</f>
        <v>Yes</v>
      </c>
      <c r="G55" s="208"/>
      <c r="H55" s="200">
        <f>VLOOKUP(A55,Questions!B$25:T$295,16,TRUE)</f>
        <v>20</v>
      </c>
      <c r="I55" s="206"/>
      <c r="J55" s="241"/>
    </row>
    <row r="56" spans="1:10" ht="48" customHeight="1">
      <c r="A56" s="320" t="str">
        <f>'HECVAT - Full | Vendor Response'!A52:B52</f>
        <v xml:space="preserve">IT Accessibility </v>
      </c>
      <c r="B56" s="320"/>
      <c r="C56" s="126" t="s">
        <v>530</v>
      </c>
      <c r="D56" s="132" t="s">
        <v>95</v>
      </c>
      <c r="E56" s="134" t="s">
        <v>97</v>
      </c>
      <c r="F56" s="135" t="s">
        <v>532</v>
      </c>
      <c r="G56" s="126" t="s">
        <v>533</v>
      </c>
      <c r="H56" s="126" t="s">
        <v>534</v>
      </c>
      <c r="I56" s="136" t="s">
        <v>535</v>
      </c>
    </row>
    <row r="57" spans="1:10" s="61" customFormat="1" ht="48" customHeight="1">
      <c r="A57" s="65" t="str">
        <f>'HECVAT - Full | Vendor Response'!A53</f>
        <v>ITAC-01</v>
      </c>
      <c r="B57" s="65" t="str">
        <f>'HECVAT - Full | Vendor Response'!B53</f>
        <v>Has a third-party expert conducted an audit of the most recent version of your product?</v>
      </c>
      <c r="C57" s="65" t="str">
        <f>'HECVAT - Full | Vendor Response'!C53</f>
        <v>Yes</v>
      </c>
      <c r="D57" s="133" t="str">
        <f>'HECVAT - Full | Vendor Response'!D53</f>
        <v>Weave employs an accessibility consultant who condusts thorough accessibility audit of both the production version of any forthcoming features and updates while they are still in pre-production.</v>
      </c>
      <c r="E57" s="144" t="s">
        <v>115</v>
      </c>
      <c r="F57" s="199" t="str">
        <f>VLOOKUP($A57,Questions!B$3:T$256,12,FALSE)</f>
        <v>Yes</v>
      </c>
      <c r="G57" s="208"/>
      <c r="H57" s="200">
        <f>VLOOKUP(A57,Questions!B$25:T$295,16,TRUE)</f>
        <v>25</v>
      </c>
      <c r="I57" s="206"/>
    </row>
    <row r="58" spans="1:10" s="61" customFormat="1" ht="48" customHeight="1">
      <c r="A58" s="65" t="str">
        <f>'HECVAT - Full | Vendor Response'!A54</f>
        <v>ITAC-02</v>
      </c>
      <c r="B58" s="65" t="str">
        <f>'HECVAT - Full | Vendor Response'!B54</f>
        <v>Do you have a documented and implemented process for verifying accessibility conformance?</v>
      </c>
      <c r="C58" s="65" t="str">
        <f>'HECVAT - Full | Vendor Response'!C54</f>
        <v>Yes</v>
      </c>
      <c r="D58" s="133" t="str">
        <f>'HECVAT - Full | Vendor Response'!D54</f>
        <v>Weave has an internally created accessibility testing suite with includes both automated scans, such as the WAVE Accessibility Tool and manual tests, which include keyboard and screen reader navigation. This is repeated each year, when there is a major WCAG or Weave system change.</v>
      </c>
      <c r="E58" s="144" t="s">
        <v>115</v>
      </c>
      <c r="F58" s="199" t="str">
        <f>VLOOKUP($A58,Questions!B$3:T$256,12,FALSE)</f>
        <v>Yes</v>
      </c>
      <c r="G58" s="208"/>
      <c r="H58" s="200">
        <f>VLOOKUP(A58,Questions!B$25:T$295,16,TRUE)</f>
        <v>25</v>
      </c>
      <c r="I58" s="206"/>
    </row>
    <row r="59" spans="1:10" s="61" customFormat="1" ht="48" customHeight="1">
      <c r="A59" s="65" t="str">
        <f>'HECVAT - Full | Vendor Response'!A55</f>
        <v>ITAC-03</v>
      </c>
      <c r="B59" s="65" t="str">
        <f>'HECVAT - Full | Vendor Response'!B55</f>
        <v>Have you adopted a technical or legal standard of conformance for the product in question?</v>
      </c>
      <c r="C59" s="65" t="str">
        <f>'HECVAT - Full | Vendor Response'!C55</f>
        <v>Yes</v>
      </c>
      <c r="D59" s="133" t="str">
        <f>'HECVAT - Full | Vendor Response'!D55</f>
        <v>Weave has adopted WCAG 2.1 Level AA as its baseline accessibility standards of conformance.</v>
      </c>
      <c r="E59" s="144" t="s">
        <v>115</v>
      </c>
      <c r="F59" s="199" t="str">
        <f>VLOOKUP($A59,Questions!B$3:T$256,12,FALSE)</f>
        <v>Yes</v>
      </c>
      <c r="G59" s="208"/>
      <c r="H59" s="200">
        <f>VLOOKUP(A59,Questions!B$25:T$295,16,TRUE)</f>
        <v>25</v>
      </c>
      <c r="I59" s="206"/>
    </row>
    <row r="60" spans="1:10" s="61" customFormat="1" ht="48" customHeight="1">
      <c r="A60" s="65" t="str">
        <f>'HECVAT - Full | Vendor Response'!A56</f>
        <v>ITAC-04</v>
      </c>
      <c r="B60" s="65" t="str">
        <f>'HECVAT - Full | Vendor Response'!B56</f>
        <v>Can you provide a current, detailed accessibility roadmap with delivery timelines?</v>
      </c>
      <c r="C60" s="65" t="str">
        <f>'HECVAT - Full | Vendor Response'!C56</f>
        <v>Yes</v>
      </c>
      <c r="D60" s="133" t="str">
        <f>'HECVAT - Full | Vendor Response'!D56</f>
        <v>Typically available upon request, our product roadmap run about 18 months into the future</v>
      </c>
      <c r="E60" s="144" t="s">
        <v>115</v>
      </c>
      <c r="F60" s="199" t="str">
        <f>VLOOKUP($A60,Questions!B$3:T$256,12,FALSE)</f>
        <v>Yes</v>
      </c>
      <c r="G60" s="208"/>
      <c r="H60" s="200">
        <f>VLOOKUP(A60,Questions!B$25:T$295,16,TRUE)</f>
        <v>25</v>
      </c>
      <c r="I60" s="206"/>
    </row>
    <row r="61" spans="1:10" s="61" customFormat="1" ht="48" customHeight="1">
      <c r="A61" s="65" t="str">
        <f>'HECVAT - Full | Vendor Response'!A57</f>
        <v>ITAC-05</v>
      </c>
      <c r="B61" s="65" t="str">
        <f>'HECVAT - Full | Vendor Response'!B57</f>
        <v>Do you expect your staff to maintain a current skill set in IT accessibility?</v>
      </c>
      <c r="C61" s="65" t="str">
        <f>'HECVAT - Full | Vendor Response'!C57</f>
        <v>Yes</v>
      </c>
      <c r="D61" s="133" t="str">
        <f>'HECVAT - Full | Vendor Response'!D57</f>
        <v>Weave's accessibility expert provides both audit and staff training on key accessibility items. When new legislation or standards are rolled out, Weave's accessibility expert will ensure that Weave stays compliant.</v>
      </c>
      <c r="E61" s="144" t="s">
        <v>115</v>
      </c>
      <c r="F61" s="199" t="str">
        <f>VLOOKUP($A61,Questions!B$3:T$256,12,FALSE)</f>
        <v>Yes</v>
      </c>
      <c r="G61" s="208"/>
      <c r="H61" s="200">
        <f>VLOOKUP(A61,Questions!B$25:T$295,16,TRUE)</f>
        <v>25</v>
      </c>
      <c r="I61" s="206"/>
    </row>
    <row r="62" spans="1:10" s="61" customFormat="1" ht="48" customHeight="1">
      <c r="A62" s="65" t="str">
        <f>'HECVAT - Full | Vendor Response'!A58</f>
        <v>ITAC-06</v>
      </c>
      <c r="B62" s="65" t="str">
        <f>'HECVAT - Full | Vendor Response'!B58</f>
        <v>Do you have a documented and implemented process for reporting and tracking accessibility issues?</v>
      </c>
      <c r="C62" s="65" t="str">
        <f>'HECVAT - Full | Vendor Response'!C58</f>
        <v>Yes</v>
      </c>
      <c r="D62" s="133" t="str">
        <f>'HECVAT - Full | Vendor Response'!D58</f>
        <v>All items are tracked in our support ticketing system and in our agile development software. Weave's accessibility expert also has an accessibility roadmap.</v>
      </c>
      <c r="E62" s="144" t="s">
        <v>115</v>
      </c>
      <c r="F62" s="199" t="str">
        <f>VLOOKUP($A62,Questions!B$3:T$256,12,FALSE)</f>
        <v>Yes</v>
      </c>
      <c r="G62" s="208"/>
      <c r="H62" s="200">
        <f>VLOOKUP(A62,Questions!B$25:T$295,16,TRUE)</f>
        <v>25</v>
      </c>
      <c r="I62" s="206"/>
    </row>
    <row r="63" spans="1:10" s="61" customFormat="1" ht="48" customHeight="1">
      <c r="A63" s="65" t="str">
        <f>'HECVAT - Full | Vendor Response'!A59</f>
        <v>ITAC-07</v>
      </c>
      <c r="B63" s="65" t="str">
        <f>'HECVAT - Full | Vendor Response'!B59</f>
        <v>Do you have documented processes and procedures for implementing accessibility into your development lifecycle?</v>
      </c>
      <c r="C63" s="65" t="str">
        <f>'HECVAT - Full | Vendor Response'!C59</f>
        <v>Yes</v>
      </c>
      <c r="D63" s="133" t="str">
        <f>'HECVAT - Full | Vendor Response'!D59</f>
        <v>When an issue is noticed, it is added to the product roadmap and then implemented in Weave's regular agile development lifecycle.</v>
      </c>
      <c r="E63" s="144" t="s">
        <v>115</v>
      </c>
      <c r="F63" s="199" t="str">
        <f>VLOOKUP($A63,Questions!B$3:T$256,12,FALSE)</f>
        <v>Yes</v>
      </c>
      <c r="G63" s="208"/>
      <c r="H63" s="200">
        <f>VLOOKUP(A63,Questions!B$25:T$295,16,TRUE)</f>
        <v>25</v>
      </c>
      <c r="I63" s="206"/>
    </row>
    <row r="64" spans="1:10" s="61" customFormat="1" ht="48" customHeight="1">
      <c r="A64" s="65" t="str">
        <f>'HECVAT - Full | Vendor Response'!A60</f>
        <v>ITAC-08</v>
      </c>
      <c r="B64" s="65" t="str">
        <f>'HECVAT - Full | Vendor Response'!B60</f>
        <v>Can all functions of the application or service be performed using only the keyboard?</v>
      </c>
      <c r="C64" s="65" t="str">
        <f>'HECVAT - Full | Vendor Response'!C60</f>
        <v>Yes</v>
      </c>
      <c r="D64" s="133" t="str">
        <f>'HECVAT - Full | Vendor Response'!D60</f>
        <v xml:space="preserve">All essential functions can be performed using only the keyboard. </v>
      </c>
      <c r="E64" s="144" t="s">
        <v>115</v>
      </c>
      <c r="F64" s="199" t="str">
        <f>VLOOKUP($A64,Questions!B$3:T$256,12,FALSE)</f>
        <v>Yes</v>
      </c>
      <c r="G64" s="208"/>
      <c r="H64" s="200">
        <f>VLOOKUP(A64,Questions!B$25:T$295,16,TRUE)</f>
        <v>25</v>
      </c>
      <c r="I64" s="206"/>
    </row>
    <row r="65" spans="1:10" s="61" customFormat="1" ht="48" customHeight="1">
      <c r="A65" s="65" t="str">
        <f>'HECVAT - Full | Vendor Response'!A61</f>
        <v>ITAC-09</v>
      </c>
      <c r="B65" s="65" t="str">
        <f>'HECVAT - Full | Vendor Response'!B61</f>
        <v>Does your product rely on activating a special "accessibility mode," a "lite version," or accessing an alternate interface for accessibility purposes?</v>
      </c>
      <c r="C65" s="65" t="str">
        <f>'HECVAT - Full | Vendor Response'!C61</f>
        <v>Yes</v>
      </c>
      <c r="D65" s="133" t="str">
        <f>'HECVAT - Full | Vendor Response'!D61</f>
        <v>There is no separate accessibility mode.</v>
      </c>
      <c r="E65" s="144" t="s">
        <v>115</v>
      </c>
      <c r="F65" s="199" t="str">
        <f>VLOOKUP($A65,Questions!B$3:T$256,12,FALSE)</f>
        <v>No</v>
      </c>
      <c r="G65" s="208"/>
      <c r="H65" s="200">
        <f>VLOOKUP(A65,Questions!B$25:T$295,16,TRUE)</f>
        <v>25</v>
      </c>
      <c r="I65" s="206"/>
      <c r="J65" s="241"/>
    </row>
    <row r="66" spans="1:10" ht="48" customHeight="1">
      <c r="A66" s="320" t="str">
        <f>'HECVAT - Full | Vendor Response'!A62</f>
        <v>Assessment of Third Parties</v>
      </c>
      <c r="B66" s="320"/>
      <c r="C66" s="126" t="s">
        <v>530</v>
      </c>
      <c r="D66" s="132" t="s">
        <v>95</v>
      </c>
      <c r="E66" s="134" t="s">
        <v>97</v>
      </c>
      <c r="F66" s="135" t="s">
        <v>532</v>
      </c>
      <c r="G66" s="126" t="s">
        <v>533</v>
      </c>
      <c r="H66" s="126" t="s">
        <v>534</v>
      </c>
      <c r="I66" s="136" t="s">
        <v>535</v>
      </c>
    </row>
    <row r="67" spans="1:10" ht="48" customHeight="1">
      <c r="A67" s="65" t="str">
        <f>'HECVAT - Full | Vendor Response'!A63</f>
        <v>THRD-01</v>
      </c>
      <c r="B67" s="65" t="str">
        <f>'HECVAT - Full | Vendor Response'!B63</f>
        <v>Do you perform security assessments of third-party companies with which you share data? (e.g., hosting providers, cloud services, PaaS, IaaS, SaaS)</v>
      </c>
      <c r="C67" s="125" t="str">
        <f>'HECVAT - Full | Vendor Response'!C63</f>
        <v>Yes</v>
      </c>
      <c r="D67" s="131" t="str">
        <f>'HECVAT - Full | Vendor Response'!D63</f>
        <v>Any third party undergoes a security review of their practices and security posture based on internally-determined criteria. A risk-based decision is made based on that security review and business needs.</v>
      </c>
      <c r="E67" s="144" t="s">
        <v>115</v>
      </c>
      <c r="F67" s="199" t="str">
        <f>VLOOKUP($A67,Questions!B$3:T$256,12,FALSE)</f>
        <v>Yes</v>
      </c>
      <c r="G67" s="208"/>
      <c r="H67" s="200">
        <f>VLOOKUP(A66,Questions!B$25:T$295,16,TRUE)</f>
        <v>25</v>
      </c>
      <c r="I67" s="206"/>
    </row>
    <row r="68" spans="1:10" ht="48" customHeight="1">
      <c r="A68" s="124" t="str">
        <f>'HECVAT - Full | Vendor Response'!A64</f>
        <v>THRD-02</v>
      </c>
      <c r="B68" s="124" t="str">
        <f>'HECVAT - Full | Vendor Response'!B64</f>
        <v>Provide a brief description for why each of these third parties will have access to institutional data.</v>
      </c>
      <c r="C68" s="317" t="str">
        <f>'HECVAT - Full | Vendor Response'!C64</f>
        <v>AWS: IaaS/hosting, Mongo Db: IaaS/hosting, Constant Contact: API connection for Weave Member Directory, Nailor: API connection for Member directory</v>
      </c>
      <c r="D68" s="318"/>
      <c r="E68" s="143" t="s">
        <v>115</v>
      </c>
      <c r="F68" s="201" t="s">
        <v>536</v>
      </c>
      <c r="G68" s="208"/>
      <c r="H68" s="202">
        <f>VLOOKUP(A67,Questions!B$25:T$295,16,TRUE)</f>
        <v>15</v>
      </c>
      <c r="I68" s="206"/>
    </row>
    <row r="69" spans="1:10" ht="48" customHeight="1">
      <c r="A69" s="124" t="str">
        <f>'HECVAT - Full | Vendor Response'!A65</f>
        <v>THRD-03</v>
      </c>
      <c r="B69" s="124" t="str">
        <f>'HECVAT - Full | Vendor Response'!B65</f>
        <v>What legal agreements (i.e., contracts) do you have in place with these third parties that address liability in the event of a data breach?</v>
      </c>
      <c r="C69" s="317" t="str">
        <f>'HECVAT - Full | Vendor Response'!C65</f>
        <v>Weave has an Interconnection Security Agreement with third-parties who process institution data.</v>
      </c>
      <c r="D69" s="318"/>
      <c r="E69" s="143" t="s">
        <v>115</v>
      </c>
      <c r="F69" s="201" t="s">
        <v>536</v>
      </c>
      <c r="G69" s="208"/>
      <c r="H69" s="202">
        <f>VLOOKUP(A68,Questions!B$25:T$295,16,TRUE)</f>
        <v>15</v>
      </c>
      <c r="I69" s="206"/>
    </row>
    <row r="70" spans="1:10" ht="48" customHeight="1">
      <c r="A70" s="65" t="str">
        <f>'HECVAT - Full | Vendor Response'!A66</f>
        <v>THRD-04</v>
      </c>
      <c r="B70" s="65" t="str">
        <f>'HECVAT - Full | Vendor Response'!B66</f>
        <v>Do you have an implemented third-party management strategy?</v>
      </c>
      <c r="C70" s="125" t="str">
        <f>'HECVAT - Full | Vendor Response'!C66</f>
        <v>Yes</v>
      </c>
      <c r="D70" s="131" t="str">
        <f>'HECVAT - Full | Vendor Response'!D66</f>
        <v>Weave has a software supply chain management procedure, where thrid party software, hardware, and firmware are continually inventoried, reviewed, and updated. If a user requests a new third party integration, the security team conducts a security/risk review and makes a recommendation to the Weave Change Management team.</v>
      </c>
      <c r="E70" s="143" t="s">
        <v>115</v>
      </c>
      <c r="F70" s="199" t="str">
        <f>VLOOKUP($A70,Questions!B$3:T$256,12,FALSE)</f>
        <v>Yes</v>
      </c>
      <c r="G70" s="208"/>
      <c r="H70" s="200">
        <f>VLOOKUP(A68,Questions!B$25:T$295,16,TRUE)</f>
        <v>15</v>
      </c>
      <c r="I70" s="206"/>
    </row>
    <row r="71" spans="1:10" ht="48" customHeight="1">
      <c r="A71" s="65" t="str">
        <f>'HECVAT - Full | Vendor Response'!A67</f>
        <v>THRD-05</v>
      </c>
      <c r="B71" s="65" t="str">
        <f>'HECVAT - Full | Vendor Response'!B67</f>
        <v>Do you have a process and implemented procedures for managing your hardware supply chain? (e.g., telecommunications equipment, export licensing, computing devices)</v>
      </c>
      <c r="C71" s="125" t="str">
        <f>'HECVAT - Full | Vendor Response'!C67</f>
        <v>Yes</v>
      </c>
      <c r="D71" s="131" t="str">
        <f>'HECVAT - Full | Vendor Response'!D67</f>
        <v>Compliant with United States. Weave has a hardware supply chain process that includes continual scanning, review, and update of its inventory.</v>
      </c>
      <c r="E71" s="143" t="s">
        <v>115</v>
      </c>
      <c r="F71" s="199" t="str">
        <f>VLOOKUP($A71,Questions!B$3:T$256,12,FALSE)</f>
        <v>Yes</v>
      </c>
      <c r="G71" s="208"/>
      <c r="H71" s="200">
        <f>VLOOKUP(A69,Questions!B$25:T$295,16,TRUE)</f>
        <v>15</v>
      </c>
      <c r="I71" s="206"/>
      <c r="J71" s="240"/>
    </row>
    <row r="72" spans="1:10" ht="48" customHeight="1">
      <c r="A72" s="320" t="str">
        <f>'HECVAT - Full | Vendor Response'!A68</f>
        <v>Consulting</v>
      </c>
      <c r="B72" s="320"/>
      <c r="C72" s="126" t="s">
        <v>530</v>
      </c>
      <c r="D72" s="132" t="s">
        <v>95</v>
      </c>
      <c r="E72" s="134" t="s">
        <v>97</v>
      </c>
      <c r="F72" s="135" t="s">
        <v>532</v>
      </c>
      <c r="G72" s="126" t="s">
        <v>533</v>
      </c>
      <c r="H72" s="126" t="s">
        <v>534</v>
      </c>
      <c r="I72" s="136" t="s">
        <v>535</v>
      </c>
    </row>
    <row r="73" spans="1:10" ht="48" customHeight="1">
      <c r="A73" s="65" t="str">
        <f>'HECVAT - Full | Vendor Response'!A69</f>
        <v>CONS-01</v>
      </c>
      <c r="B73" s="65" t="str">
        <f>'HECVAT - Full | Vendor Response'!B69</f>
        <v>Will the consulting take place on-premises?</v>
      </c>
      <c r="C73" s="125">
        <f>'HECVAT - Full | Vendor Response'!C69</f>
        <v>0</v>
      </c>
      <c r="D73" s="131" t="str">
        <f>'HECVAT - Full | Vendor Response'!D69</f>
        <v>n/a</v>
      </c>
      <c r="E73" s="143" t="s">
        <v>115</v>
      </c>
      <c r="F73" s="199" t="str">
        <f>VLOOKUP($A73,Questions!B$3:T$256,12,FALSE)</f>
        <v>No</v>
      </c>
      <c r="G73" s="208"/>
      <c r="H73" s="200">
        <f>VLOOKUP(A72,Questions!B$25:T$295,16,TRUE)</f>
        <v>15</v>
      </c>
      <c r="I73" s="206"/>
    </row>
    <row r="74" spans="1:10" ht="48" customHeight="1">
      <c r="A74" s="65" t="str">
        <f>'HECVAT - Full | Vendor Response'!A70</f>
        <v>CONS-02</v>
      </c>
      <c r="B74" s="65" t="str">
        <f>'HECVAT - Full | Vendor Response'!B70</f>
        <v>Will the consultant require access to the institution's network resources?</v>
      </c>
      <c r="C74" s="125">
        <f>'HECVAT - Full | Vendor Response'!C70</f>
        <v>0</v>
      </c>
      <c r="D74" s="131" t="str">
        <f>'HECVAT - Full | Vendor Response'!D70</f>
        <v>n/a</v>
      </c>
      <c r="E74" s="143" t="s">
        <v>115</v>
      </c>
      <c r="F74" s="199" t="str">
        <f>VLOOKUP($A74,Questions!B$3:T$256,12,FALSE)</f>
        <v>No</v>
      </c>
      <c r="G74" s="208"/>
      <c r="H74" s="200">
        <f>VLOOKUP(A73,Questions!B$25:T$295,16,TRUE)</f>
        <v>15</v>
      </c>
      <c r="I74" s="206"/>
    </row>
    <row r="75" spans="1:10" ht="48" customHeight="1">
      <c r="A75" s="65" t="str">
        <f>'HECVAT - Full | Vendor Response'!A71</f>
        <v>CONS-03</v>
      </c>
      <c r="B75" s="65" t="str">
        <f>'HECVAT - Full | Vendor Response'!B71</f>
        <v>Will the consultant require access to hardware in the institution's data centers?</v>
      </c>
      <c r="C75" s="125">
        <f>'HECVAT - Full | Vendor Response'!C71</f>
        <v>0</v>
      </c>
      <c r="D75" s="131" t="str">
        <f>'HECVAT - Full | Vendor Response'!D71</f>
        <v>n/a</v>
      </c>
      <c r="E75" s="143" t="s">
        <v>115</v>
      </c>
      <c r="F75" s="199" t="str">
        <f>VLOOKUP($A75,Questions!B$3:T$256,12,FALSE)</f>
        <v>No</v>
      </c>
      <c r="G75" s="208"/>
      <c r="H75" s="200">
        <f>VLOOKUP(A74,Questions!B$25:T$295,16,TRUE)</f>
        <v>15</v>
      </c>
      <c r="I75" s="206"/>
    </row>
    <row r="76" spans="1:10" ht="48" customHeight="1">
      <c r="A76" s="65" t="str">
        <f>'HECVAT - Full | Vendor Response'!A72</f>
        <v>CONS-04</v>
      </c>
      <c r="B76" s="65" t="str">
        <f>'HECVAT - Full | Vendor Response'!B72</f>
        <v>Will the consultant require an account within the institution's domain (@*.edu)?</v>
      </c>
      <c r="C76" s="125">
        <f>'HECVAT - Full | Vendor Response'!C72</f>
        <v>0</v>
      </c>
      <c r="D76" s="131" t="str">
        <f>'HECVAT - Full | Vendor Response'!D72</f>
        <v>n/a</v>
      </c>
      <c r="E76" s="143" t="s">
        <v>115</v>
      </c>
      <c r="F76" s="199" t="str">
        <f>VLOOKUP($A76,Questions!B$3:T$256,12,FALSE)</f>
        <v>No</v>
      </c>
      <c r="G76" s="208"/>
      <c r="H76" s="200">
        <f>VLOOKUP(A75,Questions!B$25:T$295,16,TRUE)</f>
        <v>15</v>
      </c>
      <c r="I76" s="206"/>
    </row>
    <row r="77" spans="1:10" ht="48" customHeight="1">
      <c r="A77" s="65" t="str">
        <f>'HECVAT - Full | Vendor Response'!A73</f>
        <v>CONS-05</v>
      </c>
      <c r="B77" s="65" t="str">
        <f>'HECVAT - Full | Vendor Response'!B73</f>
        <v>Has the consultant received training on (sensitive, HIPAA, PCI, etc.) data handling?</v>
      </c>
      <c r="C77" s="125">
        <f>'HECVAT - Full | Vendor Response'!C73</f>
        <v>0</v>
      </c>
      <c r="D77" s="131" t="str">
        <f>'HECVAT - Full | Vendor Response'!D73</f>
        <v>n/a</v>
      </c>
      <c r="E77" s="143" t="s">
        <v>115</v>
      </c>
      <c r="F77" s="199" t="str">
        <f>VLOOKUP($A77,Questions!B$3:T$256,12,FALSE)</f>
        <v>Yes</v>
      </c>
      <c r="G77" s="208"/>
      <c r="H77" s="200">
        <f>VLOOKUP(A76,Questions!B$25:T$295,16,TRUE)</f>
        <v>15</v>
      </c>
      <c r="I77" s="206"/>
    </row>
    <row r="78" spans="1:10" ht="48" customHeight="1">
      <c r="A78" s="65" t="str">
        <f>'HECVAT - Full | Vendor Response'!A74</f>
        <v>CONS-06</v>
      </c>
      <c r="B78" s="65" t="str">
        <f>'HECVAT - Full | Vendor Response'!B74</f>
        <v>Will any data be transferred to the consultant's possession?</v>
      </c>
      <c r="C78" s="125">
        <f>'HECVAT - Full | Vendor Response'!C74</f>
        <v>0</v>
      </c>
      <c r="D78" s="131" t="str">
        <f>'HECVAT - Full | Vendor Response'!D74</f>
        <v>n/a</v>
      </c>
      <c r="E78" s="143" t="s">
        <v>115</v>
      </c>
      <c r="F78" s="199" t="str">
        <f>VLOOKUP($A78,Questions!B$3:T$256,12,FALSE)</f>
        <v>No</v>
      </c>
      <c r="G78" s="208"/>
      <c r="H78" s="200">
        <f>VLOOKUP(A77,Questions!B$25:T$295,16,TRUE)</f>
        <v>15</v>
      </c>
      <c r="I78" s="206"/>
    </row>
    <row r="79" spans="1:10" ht="48" customHeight="1">
      <c r="A79" s="65" t="str">
        <f>'HECVAT - Full | Vendor Response'!A75</f>
        <v>CONS-07</v>
      </c>
      <c r="B79" s="65" t="str">
        <f>'HECVAT - Full | Vendor Response'!B75</f>
        <v>Is it encrypted (at rest) while in the consultant's possession?</v>
      </c>
      <c r="C79" s="125">
        <f>'HECVAT - Full | Vendor Response'!C75</f>
        <v>0</v>
      </c>
      <c r="D79" s="131" t="str">
        <f>'HECVAT - Full | Vendor Response'!D75</f>
        <v>n/a</v>
      </c>
      <c r="E79" s="143" t="s">
        <v>115</v>
      </c>
      <c r="F79" s="199" t="str">
        <f>VLOOKUP($A79,Questions!B$3:T$256,12,FALSE)</f>
        <v>Yes</v>
      </c>
      <c r="G79" s="208"/>
      <c r="H79" s="200">
        <f>VLOOKUP(A78,Questions!B$25:T$295,16,TRUE)</f>
        <v>15</v>
      </c>
      <c r="I79" s="206"/>
    </row>
    <row r="80" spans="1:10" ht="48" customHeight="1">
      <c r="A80" s="65" t="str">
        <f>'HECVAT - Full | Vendor Response'!A76</f>
        <v>CONS-08</v>
      </c>
      <c r="B80" s="65" t="str">
        <f>'HECVAT - Full | Vendor Response'!B76</f>
        <v>Will the consultant need remote access to the institution's network or systems?</v>
      </c>
      <c r="C80" s="125">
        <f>'HECVAT - Full | Vendor Response'!C76</f>
        <v>0</v>
      </c>
      <c r="D80" s="131" t="str">
        <f>'HECVAT - Full | Vendor Response'!D76</f>
        <v>n/a</v>
      </c>
      <c r="E80" s="143" t="s">
        <v>115</v>
      </c>
      <c r="F80" s="199" t="str">
        <f>VLOOKUP($A80,Questions!B$3:T$256,12,FALSE)</f>
        <v>No</v>
      </c>
      <c r="G80" s="208"/>
      <c r="H80" s="200">
        <f>VLOOKUP(A79,Questions!B$25:T$295,16,TRUE)</f>
        <v>15</v>
      </c>
      <c r="I80" s="206"/>
    </row>
    <row r="81" spans="1:10" ht="48" customHeight="1">
      <c r="A81" s="65" t="str">
        <f>'HECVAT - Full | Vendor Response'!A77</f>
        <v>CONS-09</v>
      </c>
      <c r="B81" s="65" t="str">
        <f>'HECVAT - Full | Vendor Response'!B77</f>
        <v>Can we restrict that access based on source IP address?</v>
      </c>
      <c r="C81" s="125">
        <f>'HECVAT - Full | Vendor Response'!C77</f>
        <v>0</v>
      </c>
      <c r="D81" s="131" t="str">
        <f>'HECVAT - Full | Vendor Response'!D77</f>
        <v>n/a</v>
      </c>
      <c r="E81" s="143" t="s">
        <v>115</v>
      </c>
      <c r="F81" s="199" t="str">
        <f>VLOOKUP($A81,Questions!B$3:T$256,12,FALSE)</f>
        <v>Yes</v>
      </c>
      <c r="G81" s="208"/>
      <c r="H81" s="200">
        <f>VLOOKUP(A80,Questions!B$25:T$295,16,TRUE)</f>
        <v>15</v>
      </c>
      <c r="I81" s="206"/>
      <c r="J81" s="240"/>
    </row>
    <row r="82" spans="1:10" ht="48" customHeight="1">
      <c r="A82" s="320" t="str">
        <f>'HECVAT - Full | Vendor Response'!A78</f>
        <v>Application/Service Security</v>
      </c>
      <c r="B82" s="320"/>
      <c r="C82" s="126" t="s">
        <v>530</v>
      </c>
      <c r="D82" s="132" t="s">
        <v>95</v>
      </c>
      <c r="E82" s="134" t="s">
        <v>97</v>
      </c>
      <c r="F82" s="135" t="s">
        <v>532</v>
      </c>
      <c r="G82" s="126" t="s">
        <v>533</v>
      </c>
      <c r="H82" s="126" t="s">
        <v>534</v>
      </c>
      <c r="I82" s="136" t="s">
        <v>535</v>
      </c>
    </row>
    <row r="83" spans="1:10" ht="48" customHeight="1">
      <c r="A83" s="65" t="str">
        <f>'HECVAT - Full | Vendor Response'!A79</f>
        <v>APPL-01</v>
      </c>
      <c r="B83" s="65" t="str">
        <f>'HECVAT - Full | Vendor Response'!B79</f>
        <v>Are access controls for institutional accounts based on structured rules, such as role-based access control (RBAC), attribute-based access control (ABAC), or policy-based access control (PBAC)?</v>
      </c>
      <c r="C83" s="125" t="str">
        <f>'HECVAT - Full | Vendor Response'!C79</f>
        <v>Yes</v>
      </c>
      <c r="D83" s="131" t="str">
        <f>'HECVAT - Full | Vendor Response'!D79</f>
        <v>Weave suppports Single Sign On via SAML, LDAP, Shibboleth, and OAuth for end-users. Role-Based Access Control is based on internal policies and procedures.</v>
      </c>
      <c r="E83" s="143" t="s">
        <v>115</v>
      </c>
      <c r="F83" s="199" t="str">
        <f>VLOOKUP($A83,Questions!B$3:T$256,12,FALSE)</f>
        <v>Yes</v>
      </c>
      <c r="G83" s="208"/>
      <c r="H83" s="200">
        <f>VLOOKUP(A83,Questions!B$25:T$295,16,FALSE)</f>
        <v>25</v>
      </c>
      <c r="I83" s="206"/>
    </row>
    <row r="84" spans="1:10" ht="48" customHeight="1">
      <c r="A84" s="65" t="str">
        <f>'HECVAT - Full | Vendor Response'!A80</f>
        <v>APPL-02</v>
      </c>
      <c r="B84" s="65" t="str">
        <f>'HECVAT - Full | Vendor Response'!B80</f>
        <v>Are access controls for staff within your organization based on structured rules, such as RBAC, ABAC, or PBAC?</v>
      </c>
      <c r="C84" s="125" t="str">
        <f>'HECVAT - Full | Vendor Response'!C80</f>
        <v>Yes</v>
      </c>
      <c r="D84" s="131" t="str">
        <f>'HECVAT - Full | Vendor Response'!D80</f>
        <v>Weave uses AWS IAM for system admin access control. All access control policies are role-based and tracked on the Access Control Matrix.</v>
      </c>
      <c r="E84" s="143" t="s">
        <v>115</v>
      </c>
      <c r="F84" s="199" t="str">
        <f>VLOOKUP($A84,Questions!B$3:T$256,12,FALSE)</f>
        <v>Yes</v>
      </c>
      <c r="G84" s="208"/>
      <c r="H84" s="200">
        <f>VLOOKUP(A84,Questions!B$25:T$295,16,FALSE)</f>
        <v>20</v>
      </c>
      <c r="I84" s="206"/>
    </row>
    <row r="85" spans="1:10" ht="48" customHeight="1">
      <c r="A85" s="65" t="str">
        <f>'HECVAT - Full | Vendor Response'!A81</f>
        <v>APPL-03</v>
      </c>
      <c r="B85" s="65" t="str">
        <f>'HECVAT - Full | Vendor Response'!B81</f>
        <v>Does the system provide data input validation and error messages?</v>
      </c>
      <c r="C85" s="125" t="str">
        <f>'HECVAT - Full | Vendor Response'!C81</f>
        <v>Yes</v>
      </c>
      <c r="D85" s="131" t="str">
        <f>'HECVAT - Full | Vendor Response'!D81</f>
        <v>All data inputs are validated against system rules and if an error is found, the user is presented with an error message explaining how to remediate the error.</v>
      </c>
      <c r="E85" s="143" t="s">
        <v>115</v>
      </c>
      <c r="F85" s="199" t="str">
        <f>VLOOKUP($A85,Questions!B$3:T$256,12,FALSE)</f>
        <v>Yes</v>
      </c>
      <c r="G85" s="208"/>
      <c r="H85" s="200">
        <f>VLOOKUP(A85,Questions!B$25:T$295,16,FALSE)</f>
        <v>20</v>
      </c>
      <c r="I85" s="206"/>
    </row>
    <row r="86" spans="1:10" ht="48" customHeight="1">
      <c r="A86" s="65" t="str">
        <f>'HECVAT - Full | Vendor Response'!A82</f>
        <v>APPL-04</v>
      </c>
      <c r="B86" s="65" t="str">
        <f>'HECVAT - Full | Vendor Response'!B82</f>
        <v>Are you using a web application firewall (WAF)?</v>
      </c>
      <c r="C86" s="125" t="str">
        <f>'HECVAT - Full | Vendor Response'!C82</f>
        <v>Yes</v>
      </c>
      <c r="D86" s="131" t="str">
        <f>'HECVAT - Full | Vendor Response'!D82</f>
        <v>Weave uses AWS Web Application Firewall (WAF)</v>
      </c>
      <c r="E86" s="143" t="s">
        <v>115</v>
      </c>
      <c r="F86" s="199" t="str">
        <f>VLOOKUP($A86,Questions!B$3:T$256,12,FALSE)</f>
        <v>Yes</v>
      </c>
      <c r="G86" s="208"/>
      <c r="H86" s="200">
        <f>VLOOKUP(A86,Questions!B$25:T$295,16,FALSE)</f>
        <v>25</v>
      </c>
      <c r="I86" s="206"/>
    </row>
    <row r="87" spans="1:10" ht="48" customHeight="1">
      <c r="A87" s="65" t="str">
        <f>'HECVAT - Full | Vendor Response'!A83</f>
        <v>APPL-05</v>
      </c>
      <c r="B87" s="65" t="str">
        <f>'HECVAT - Full | Vendor Response'!B83</f>
        <v>Do you have a process and implemented procedures for managing your software supply chain (e.g., libraries, repositories, frameworks, etc.)</v>
      </c>
      <c r="C87" s="125" t="str">
        <f>'HECVAT - Full | Vendor Response'!C83</f>
        <v>Yes</v>
      </c>
      <c r="D87" s="131" t="str">
        <f>'HECVAT - Full | Vendor Response'!D83</f>
        <v xml:space="preserve">Weave's software supply chain is documented internally and any new third-party software undergoes a security/risk review prior to use. </v>
      </c>
      <c r="E87" s="143" t="s">
        <v>115</v>
      </c>
      <c r="F87" s="199" t="str">
        <f>VLOOKUP($A87,Questions!B$3:T$256,12,FALSE)</f>
        <v>Yes</v>
      </c>
      <c r="G87" s="208"/>
      <c r="H87" s="200">
        <f>VLOOKUP(A87,Questions!B$25:T$295,16,FALSE)</f>
        <v>20</v>
      </c>
      <c r="I87" s="206"/>
    </row>
    <row r="88" spans="1:10" ht="48" customHeight="1">
      <c r="A88" s="65" t="str">
        <f>'HECVAT - Full | Vendor Response'!A84</f>
        <v>APPL-06</v>
      </c>
      <c r="B88" s="65" t="str">
        <f>'HECVAT - Full | Vendor Response'!B84</f>
        <v>Are only currently supported operating system(s), software, and libraries leveraged by the system(s)/application(s) that will have access to institution's data?</v>
      </c>
      <c r="C88" s="125" t="str">
        <f>'HECVAT - Full | Vendor Response'!C84</f>
        <v>Yes</v>
      </c>
      <c r="D88" s="131" t="str">
        <f>'HECVAT - Full | Vendor Response'!D84</f>
        <v>Weave supports only all current operating systems</v>
      </c>
      <c r="E88" s="143" t="s">
        <v>115</v>
      </c>
      <c r="F88" s="199" t="str">
        <f>VLOOKUP($A88,Questions!B$3:T$256,12,FALSE)</f>
        <v>Yes</v>
      </c>
      <c r="G88" s="208"/>
      <c r="H88" s="200">
        <f>VLOOKUP(A88,Questions!B$25:T$295,16,FALSE)</f>
        <v>25</v>
      </c>
      <c r="I88" s="206"/>
    </row>
    <row r="89" spans="1:10" ht="48" customHeight="1">
      <c r="A89" s="65" t="str">
        <f>'HECVAT - Full | Vendor Response'!A85</f>
        <v>APPL-07</v>
      </c>
      <c r="B89" s="65" t="str">
        <f>'HECVAT - Full | Vendor Response'!B85</f>
        <v>If mobile, is the application available from a trusted source (e.g., App Store, Google Play Store)?</v>
      </c>
      <c r="C89" s="125" t="str">
        <f>'HECVAT - Full | Vendor Response'!C85</f>
        <v>N/A</v>
      </c>
      <c r="D89" s="131">
        <f>'HECVAT - Full | Vendor Response'!D85</f>
        <v>0</v>
      </c>
      <c r="E89" s="143" t="s">
        <v>115</v>
      </c>
      <c r="F89" s="199" t="str">
        <f>VLOOKUP($A89,Questions!B$3:T$256,12,FALSE)</f>
        <v>Yes</v>
      </c>
      <c r="G89" s="208"/>
      <c r="H89" s="200">
        <f>VLOOKUP(A89,Questions!B$25:T$295,16,FALSE)</f>
        <v>15</v>
      </c>
      <c r="I89" s="206"/>
    </row>
    <row r="90" spans="1:10" ht="48" customHeight="1">
      <c r="A90" s="65" t="str">
        <f>'HECVAT - Full | Vendor Response'!A86</f>
        <v>APPL-08</v>
      </c>
      <c r="B90" s="65" t="str">
        <f>'HECVAT - Full | Vendor Response'!B86</f>
        <v>Does your application require access to location or GPS data?</v>
      </c>
      <c r="C90" s="125" t="str">
        <f>'HECVAT - Full | Vendor Response'!C86</f>
        <v>No</v>
      </c>
      <c r="D90" s="131" t="str">
        <f>'HECVAT - Full | Vendor Response'!D86</f>
        <v>none</v>
      </c>
      <c r="E90" s="143" t="s">
        <v>115</v>
      </c>
      <c r="F90" s="199" t="str">
        <f>VLOOKUP($A90,Questions!B$3:T$256,12,FALSE)</f>
        <v>No</v>
      </c>
      <c r="G90" s="208"/>
      <c r="H90" s="200">
        <f>VLOOKUP(A90,Questions!B$25:T$295,16,FALSE)</f>
        <v>25</v>
      </c>
      <c r="I90" s="206"/>
    </row>
    <row r="91" spans="1:10" ht="48" customHeight="1">
      <c r="A91" s="65" t="str">
        <f>'HECVAT - Full | Vendor Response'!A87</f>
        <v>APPL-09</v>
      </c>
      <c r="B91" s="65" t="str">
        <f>'HECVAT - Full | Vendor Response'!B87</f>
        <v>Does your application provide separation of duties between security administration, system administration, and standard user functions?</v>
      </c>
      <c r="C91" s="125" t="str">
        <f>'HECVAT - Full | Vendor Response'!C87</f>
        <v>Yes</v>
      </c>
      <c r="D91" s="131" t="str">
        <f>'HECVAT - Full | Vendor Response'!D87</f>
        <v>The Weave platofrm is role-based, and as such segregates functions based on user role. Weave also has an internal Separation of Duties matrix which details which user roles are allowed which privileges.</v>
      </c>
      <c r="E91" s="143" t="s">
        <v>537</v>
      </c>
      <c r="F91" s="199" t="str">
        <f>VLOOKUP($A91,Questions!B$3:T$256,12,FALSE)</f>
        <v>Yes</v>
      </c>
      <c r="G91" s="208"/>
      <c r="H91" s="200">
        <f>VLOOKUP(A91,Questions!B$25:T$295,16,FALSE)</f>
        <v>40</v>
      </c>
      <c r="I91" s="206"/>
    </row>
    <row r="92" spans="1:10" ht="48" customHeight="1">
      <c r="A92" s="65" t="str">
        <f>'HECVAT - Full | Vendor Response'!A88</f>
        <v>APPL-10</v>
      </c>
      <c r="B92" s="65" t="str">
        <f>'HECVAT - Full | Vendor Response'!B88</f>
        <v>Do you have a fully implemented policy or procedure that details how your employees obtain administrator access to institutional instance of the application?</v>
      </c>
      <c r="C92" s="125" t="str">
        <f>'HECVAT - Full | Vendor Response'!C88</f>
        <v>Yes</v>
      </c>
      <c r="D92" s="131" t="str">
        <f>'HECVAT - Full | Vendor Response'!D88</f>
        <v>As part of its Access Control policy and procedure, Weave also maintains an Access Request list, where employees need to have authorization by the System Owner to obtain administrator access. Weave relies on the principle of least privilege.</v>
      </c>
      <c r="E92" s="143" t="s">
        <v>115</v>
      </c>
      <c r="F92" s="199" t="str">
        <f>VLOOKUP($A92,Questions!B$3:T$256,12,FALSE)</f>
        <v>Yes</v>
      </c>
      <c r="G92" s="208"/>
      <c r="H92" s="200">
        <f>VLOOKUP(A92,Questions!B$25:T$295,16,FALSE)</f>
        <v>10</v>
      </c>
      <c r="I92" s="206"/>
    </row>
    <row r="93" spans="1:10" ht="48" customHeight="1">
      <c r="A93" s="65" t="str">
        <f>'HECVAT - Full | Vendor Response'!A89</f>
        <v>APPL-11</v>
      </c>
      <c r="B93" s="65" t="str">
        <f>'HECVAT - Full | Vendor Response'!B89</f>
        <v>Have your developers been trained in secure coding techniques?</v>
      </c>
      <c r="C93" s="125" t="str">
        <f>'HECVAT - Full | Vendor Response'!C89</f>
        <v>Yes</v>
      </c>
      <c r="D93" s="131" t="str">
        <f>'HECVAT - Full | Vendor Response'!D89</f>
        <v>Weave's developers have been trained in secure coding techniques, including input validation, access control, data minimization, and cryptographic practices.</v>
      </c>
      <c r="E93" s="143" t="s">
        <v>115</v>
      </c>
      <c r="F93" s="199" t="str">
        <f>VLOOKUP($A93,Questions!B$3:T$256,12,FALSE)</f>
        <v>Yes</v>
      </c>
      <c r="G93" s="208"/>
      <c r="H93" s="200">
        <f>VLOOKUP(A93,Questions!B$25:T$295,16,FALSE)</f>
        <v>20</v>
      </c>
      <c r="I93" s="206"/>
    </row>
    <row r="94" spans="1:10" ht="48" customHeight="1">
      <c r="A94" s="65" t="str">
        <f>'HECVAT - Full | Vendor Response'!A90</f>
        <v>APPL-12</v>
      </c>
      <c r="B94" s="65" t="str">
        <f>'HECVAT - Full | Vendor Response'!B90</f>
        <v>Was your application developed using secure coding techniques?</v>
      </c>
      <c r="C94" s="125" t="str">
        <f>'HECVAT - Full | Vendor Response'!C90</f>
        <v>Yes</v>
      </c>
      <c r="D94" s="131" t="str">
        <f>'HECVAT - Full | Vendor Response'!D90</f>
        <v>Weave's application was developed using secure coding techniques such as least privilege, access control, audit logs, input validation, and more.</v>
      </c>
      <c r="E94" s="143" t="s">
        <v>115</v>
      </c>
      <c r="F94" s="199" t="str">
        <f>VLOOKUP($A94,Questions!B$3:T$256,12,FALSE)</f>
        <v>Yes</v>
      </c>
      <c r="G94" s="208"/>
      <c r="H94" s="200">
        <f>VLOOKUP(A94,Questions!B$25:T$295,16,FALSE)</f>
        <v>20</v>
      </c>
      <c r="I94" s="206"/>
    </row>
    <row r="95" spans="1:10" ht="48" customHeight="1">
      <c r="A95" s="65" t="str">
        <f>'HECVAT - Full | Vendor Response'!A91</f>
        <v>APPL-13</v>
      </c>
      <c r="B95" s="65" t="str">
        <f>'HECVAT - Full | Vendor Response'!B91</f>
        <v>Do you subject your code to static code analysis and/or static application security testing prior to release?</v>
      </c>
      <c r="C95" s="125" t="str">
        <f>'HECVAT - Full | Vendor Response'!C91</f>
        <v>Yes</v>
      </c>
      <c r="D95" s="131" t="str">
        <f>'HECVAT - Full | Vendor Response'!D91</f>
        <v>Weave conducts static code analysis prior to release, as well as bug testing and regression testing.</v>
      </c>
      <c r="E95" s="143" t="s">
        <v>115</v>
      </c>
      <c r="F95" s="199" t="str">
        <f>VLOOKUP($A95,Questions!B$3:T$256,12,FALSE)</f>
        <v>Yes</v>
      </c>
      <c r="G95" s="208"/>
      <c r="H95" s="200">
        <f>VLOOKUP(A95,Questions!B$25:T$295,16,FALSE)</f>
        <v>25</v>
      </c>
      <c r="I95" s="206"/>
    </row>
    <row r="96" spans="1:10" ht="48" customHeight="1">
      <c r="A96" s="65" t="str">
        <f>'HECVAT - Full | Vendor Response'!A92</f>
        <v>APPL-14</v>
      </c>
      <c r="B96" s="65" t="str">
        <f>'HECVAT - Full | Vendor Response'!B92</f>
        <v>Do you have software testing processes (dynamic or static) that are established and followed?</v>
      </c>
      <c r="C96" s="125" t="str">
        <f>'HECVAT - Full | Vendor Response'!C92</f>
        <v>Yes</v>
      </c>
      <c r="D96" s="131" t="str">
        <f>'HECVAT - Full | Vendor Response'!D92</f>
        <v>Weave conducts static code analysis prior to release, as well as bug testing and regression testing.</v>
      </c>
      <c r="E96" s="143" t="s">
        <v>115</v>
      </c>
      <c r="F96" s="199" t="str">
        <f>VLOOKUP($A96,Questions!B$3:T$256,12,FALSE)</f>
        <v>Yes</v>
      </c>
      <c r="G96" s="208"/>
      <c r="H96" s="200">
        <f>VLOOKUP(A96,Questions!B$25:T$295,16,FALSE)</f>
        <v>25</v>
      </c>
      <c r="I96" s="206"/>
      <c r="J96" s="240"/>
    </row>
    <row r="97" spans="1:10" ht="48" customHeight="1">
      <c r="A97" s="127" t="str">
        <f>'HECVAT - Full | Vendor Response'!A93</f>
        <v>Authentication, Authorization, and Accounting</v>
      </c>
      <c r="B97" s="128"/>
      <c r="C97" s="126" t="s">
        <v>530</v>
      </c>
      <c r="D97" s="132" t="s">
        <v>95</v>
      </c>
      <c r="E97" s="134" t="s">
        <v>97</v>
      </c>
      <c r="F97" s="135" t="s">
        <v>532</v>
      </c>
      <c r="G97" s="126" t="s">
        <v>533</v>
      </c>
      <c r="H97" s="126" t="s">
        <v>534</v>
      </c>
      <c r="I97" s="136" t="s">
        <v>535</v>
      </c>
    </row>
    <row r="98" spans="1:10" ht="48" customHeight="1">
      <c r="A98" s="65" t="str">
        <f>'HECVAT - Full | Vendor Response'!A94</f>
        <v>AAAI-01</v>
      </c>
      <c r="B98" s="65" t="str">
        <f>'HECVAT - Full | Vendor Response'!B94</f>
        <v>Does your solution support single sign-on (SSO) protocols for user and administrator authentication?</v>
      </c>
      <c r="C98" s="125" t="str">
        <f>'HECVAT - Full | Vendor Response'!C94</f>
        <v>1) Yes</v>
      </c>
      <c r="D98" s="131" t="str">
        <f>'HECVAT - Full | Vendor Response'!D94</f>
        <v>Strong authentication is enforced by password requirements, aging requirements, MFA, and re-use policy. Weave also supports single sign-on protocols for user and administrator authentication.</v>
      </c>
      <c r="E98" s="143" t="s">
        <v>115</v>
      </c>
      <c r="F98" s="199">
        <f>VLOOKUP($A98,Questions!B$3:T$256,12,FALSE)</f>
        <v>1</v>
      </c>
      <c r="G98" s="208"/>
      <c r="H98" s="200">
        <f>VLOOKUP(A98,Questions!B$25:T$295,16,FALSE)</f>
        <v>25</v>
      </c>
      <c r="I98" s="206"/>
    </row>
    <row r="99" spans="1:10" ht="105" customHeight="1">
      <c r="A99" s="65" t="str">
        <f>'HECVAT - Full | Vendor Response'!A95</f>
        <v>AAAI-02</v>
      </c>
      <c r="B99" s="65" t="str">
        <f>'HECVAT - Full | Vendor Response'!B95</f>
        <v>Does your solution support local authentication protocols for user and administrator authentication?</v>
      </c>
      <c r="C99" s="125" t="str">
        <f>'HECVAT - Full | Vendor Response'!C95</f>
        <v>3) Both modes available</v>
      </c>
      <c r="D99" s="131" t="str">
        <f>'HECVAT - Full | Vendor Response'!D95</f>
        <v>Weave supports administrator authentication as well as LDAP, SAML2, and Shibboleth.</v>
      </c>
      <c r="E99" s="143" t="s">
        <v>115</v>
      </c>
      <c r="F99" s="199">
        <f>VLOOKUP($A99,Questions!B$3:T$256,12,FALSE)</f>
        <v>1</v>
      </c>
      <c r="G99" s="208"/>
      <c r="H99" s="200">
        <f>VLOOKUP(A99,Questions!B$25:T$295,16,FALSE)</f>
        <v>25</v>
      </c>
      <c r="I99" s="206"/>
    </row>
    <row r="100" spans="1:10" ht="48" customHeight="1">
      <c r="A100" s="65" t="str">
        <f>'HECVAT - Full | Vendor Response'!A96</f>
        <v>AAAI-03</v>
      </c>
      <c r="B100" s="65" t="str">
        <f>'HECVAT - Full | Vendor Response'!B96</f>
        <v>Can you enforce password/passphrase aging requirements?</v>
      </c>
      <c r="C100" s="125" t="str">
        <f>'HECVAT - Full | Vendor Response'!C96</f>
        <v>Yes</v>
      </c>
      <c r="D100" s="131" t="str">
        <f>'HECVAT - Full | Vendor Response'!D96</f>
        <v>Passwords age out at 180 days</v>
      </c>
      <c r="E100" s="143" t="s">
        <v>115</v>
      </c>
      <c r="F100" s="199" t="str">
        <f>VLOOKUP($A100,Questions!B$3:T$256,12,FALSE)</f>
        <v>Yes</v>
      </c>
      <c r="G100" s="208"/>
      <c r="H100" s="200">
        <f>VLOOKUP(A100,Questions!B$25:T$295,16,FALSE)</f>
        <v>20</v>
      </c>
      <c r="I100" s="206"/>
      <c r="J100" s="63">
        <f>VLOOKUP($A98,Questions!$B$18:$L$309,10,FALSE)</f>
        <v>1</v>
      </c>
    </row>
    <row r="101" spans="1:10" ht="48" customHeight="1">
      <c r="A101" s="65" t="str">
        <f>'HECVAT - Full | Vendor Response'!A97</f>
        <v>AAAI-04</v>
      </c>
      <c r="B101" s="65" t="str">
        <f>'HECVAT - Full | Vendor Response'!B97</f>
        <v>Can you enforce password/passphrase complexity requirements (provided by the institution)?</v>
      </c>
      <c r="C101" s="125" t="str">
        <f>'HECVAT - Full | Vendor Response'!C97</f>
        <v>No</v>
      </c>
      <c r="D101" s="131" t="str">
        <f>'HECVAT - Full | Vendor Response'!D97</f>
        <v xml:space="preserve">Weave has set password comlexity requirements based on NIST SP 800-3 standards. All passwords must have at least: 
Twelve characters 
One number 
One upper-case character 
One lower-case character 
One special character </v>
      </c>
      <c r="E101" s="143" t="s">
        <v>115</v>
      </c>
      <c r="F101" s="199" t="str">
        <f>VLOOKUP($A101,Questions!B$3:T$256,12,FALSE)</f>
        <v>Yes</v>
      </c>
      <c r="G101" s="208"/>
      <c r="H101" s="200">
        <f>VLOOKUP(A101,Questions!B$25:T$295,16,FALSE)</f>
        <v>40</v>
      </c>
      <c r="I101" s="206"/>
    </row>
    <row r="102" spans="1:10" ht="48" customHeight="1">
      <c r="A102" s="65" t="str">
        <f>'HECVAT - Full | Vendor Response'!A98</f>
        <v>AAAI-05</v>
      </c>
      <c r="B102" s="65" t="str">
        <f>'HECVAT - Full | Vendor Response'!B98</f>
        <v>Does the system have password complexity or length limitations and/or restrictions?</v>
      </c>
      <c r="C102" s="125" t="str">
        <f>'HECVAT - Full | Vendor Response'!C98</f>
        <v>Yes</v>
      </c>
      <c r="D102" s="131" t="str">
        <f>'HECVAT - Full | Vendor Response'!D98</f>
        <v xml:space="preserve">If you have too many failed password attempts during login, your account will be locked for 15 minutes. You will need to wait and try again after the time is over. Please remember you can reset your password using the Forgot Password link if needed. 
You can’t use commonly guessed/exploited passwords. The Weave system maintains an ongoing list of these passwords. You will receive a warning/error if you attempt to use one of these passwords.  
You can't reuse a password that you have used in the last 30 days.  
If your current password does not meet the new requirements, you will need to change it. </v>
      </c>
      <c r="E102" s="143" t="s">
        <v>115</v>
      </c>
      <c r="F102" s="199" t="str">
        <f>VLOOKUP($A102,Questions!B$3:T$256,12,FALSE)</f>
        <v>No</v>
      </c>
      <c r="G102" s="208"/>
      <c r="H102" s="200">
        <f>VLOOKUP(A102,Questions!B$25:T$295,16,FALSE)</f>
        <v>40</v>
      </c>
      <c r="I102" s="206"/>
    </row>
    <row r="103" spans="1:10" ht="48" customHeight="1">
      <c r="A103" s="65" t="str">
        <f>'HECVAT - Full | Vendor Response'!A99</f>
        <v>AAAI-06</v>
      </c>
      <c r="B103" s="65" t="str">
        <f>'HECVAT - Full | Vendor Response'!B99</f>
        <v>Do you have documented password/passphrase reset procedures that are currently implemented in the system and/or customer support?</v>
      </c>
      <c r="C103" s="125" t="str">
        <f>'HECVAT - Full | Vendor Response'!C99</f>
        <v>Yes</v>
      </c>
      <c r="D103" s="131" t="str">
        <f>'HECVAT - Full | Vendor Response'!D99</f>
        <v>People can reset their own passwords via self-service.</v>
      </c>
      <c r="E103" s="143" t="s">
        <v>115</v>
      </c>
      <c r="F103" s="199" t="str">
        <f>VLOOKUP($A103,Questions!B$3:T$256,12,FALSE)</f>
        <v>Yes</v>
      </c>
      <c r="G103" s="208"/>
      <c r="H103" s="200">
        <f>VLOOKUP(A103,Questions!B$25:T$295,16,FALSE)</f>
        <v>25</v>
      </c>
      <c r="I103" s="206"/>
    </row>
    <row r="104" spans="1:10" ht="48" customHeight="1">
      <c r="A104" s="65" t="str">
        <f>'HECVAT - Full | Vendor Response'!A100</f>
        <v>AAAI-07</v>
      </c>
      <c r="B104" s="65" t="str">
        <f>'HECVAT - Full | Vendor Response'!B100</f>
        <v>Does your organization participate in InCommon or another eduGAIN-affiliated trust federation?</v>
      </c>
      <c r="C104" s="125" t="str">
        <f>'HECVAT - Full | Vendor Response'!C100</f>
        <v>No</v>
      </c>
      <c r="D104" s="131" t="str">
        <f>'HECVAT - Full | Vendor Response'!D100</f>
        <v>none</v>
      </c>
      <c r="E104" s="143" t="s">
        <v>115</v>
      </c>
      <c r="F104" s="199" t="str">
        <f>VLOOKUP($A104,Questions!B$3:T$256,12,FALSE)</f>
        <v>Yes</v>
      </c>
      <c r="G104" s="208"/>
      <c r="H104" s="200">
        <f>VLOOKUP(A104,Questions!B$25:T$295,16,FALSE)</f>
        <v>40</v>
      </c>
      <c r="I104" s="206"/>
    </row>
    <row r="105" spans="1:10" ht="48" customHeight="1">
      <c r="A105" s="65" t="str">
        <f>'HECVAT - Full | Vendor Response'!A101</f>
        <v>AAAI-08</v>
      </c>
      <c r="B105" s="65" t="str">
        <f>'HECVAT - Full | Vendor Response'!B101</f>
        <v>Does your application support integration with other authentication and authorization systems?</v>
      </c>
      <c r="C105" s="125" t="str">
        <f>'HECVAT - Full | Vendor Response'!C101</f>
        <v>Yes</v>
      </c>
      <c r="D105" s="131" t="str">
        <f>'HECVAT - Full | Vendor Response'!D101</f>
        <v>Active Directory, LDAP, SAML2, Shibboleth</v>
      </c>
      <c r="E105" s="143" t="s">
        <v>115</v>
      </c>
      <c r="F105" s="199" t="str">
        <f>VLOOKUP($A105,Questions!B$3:T$256,12,FALSE)</f>
        <v>Yes</v>
      </c>
      <c r="G105" s="208"/>
      <c r="H105" s="200">
        <f>VLOOKUP(A105,Questions!B$25:T$295,16,FALSE)</f>
        <v>20</v>
      </c>
      <c r="I105" s="206"/>
    </row>
    <row r="106" spans="1:10" ht="48" customHeight="1">
      <c r="A106" s="65" t="str">
        <f>'HECVAT - Full | Vendor Response'!A102</f>
        <v>AAAI-09</v>
      </c>
      <c r="B106" s="65" t="str">
        <f>'HECVAT - Full | Vendor Response'!B102</f>
        <v>Does your solution support any of the following web SSO standards? [e.g., SAML2 (with redirect flow), OIDC, CAS, or other]</v>
      </c>
      <c r="C106" s="125" t="str">
        <f>'HECVAT - Full | Vendor Response'!C102</f>
        <v>Yes</v>
      </c>
      <c r="D106" s="131" t="str">
        <f>'HECVAT - Full | Vendor Response'!D102</f>
        <v>SAML2, CAS, OIDC</v>
      </c>
      <c r="E106" s="143" t="s">
        <v>115</v>
      </c>
      <c r="F106" s="199" t="str">
        <f>VLOOKUP($A106,Questions!B$3:T$256,12,FALSE)</f>
        <v>Yes</v>
      </c>
      <c r="G106" s="208"/>
      <c r="H106" s="200">
        <f>VLOOKUP(A106,Questions!B$25:T$295,16,FALSE)</f>
        <v>15</v>
      </c>
      <c r="I106" s="206"/>
    </row>
    <row r="107" spans="1:10" ht="48" customHeight="1">
      <c r="A107" s="65" t="str">
        <f>'HECVAT - Full | Vendor Response'!A103</f>
        <v>AAAI-10</v>
      </c>
      <c r="B107" s="65" t="str">
        <f>'HECVAT - Full | Vendor Response'!B103</f>
        <v>Do you support differentiation between email address and user identifier?</v>
      </c>
      <c r="C107" s="125" t="str">
        <f>'HECVAT - Full | Vendor Response'!C103</f>
        <v>Yes</v>
      </c>
      <c r="D107" s="131" t="str">
        <f>'HECVAT - Full | Vendor Response'!D103</f>
        <v>Weave uses the ePPN as the main identifier</v>
      </c>
      <c r="E107" s="143" t="s">
        <v>115</v>
      </c>
      <c r="F107" s="199" t="str">
        <f>VLOOKUP($A107,Questions!B$3:T$256,12,FALSE)</f>
        <v>Yes</v>
      </c>
      <c r="G107" s="208"/>
      <c r="H107" s="200">
        <f>VLOOKUP(A107,Questions!B$25:T$295,16,FALSE)</f>
        <v>15</v>
      </c>
      <c r="I107" s="206"/>
    </row>
    <row r="108" spans="1:10" ht="48" customHeight="1">
      <c r="A108" s="65" t="str">
        <f>'HECVAT - Full | Vendor Response'!A104</f>
        <v>AAAI-11</v>
      </c>
      <c r="B108" s="65" t="str">
        <f>'HECVAT - Full | Vendor Response'!B104</f>
        <v>Do you allow the customer to specify attribute mappings for any needed information beyond a user identifier? (e.g., Reference eduPerson, ePPA/ePPN/ePE)</v>
      </c>
      <c r="C108" s="125" t="str">
        <f>'HECVAT - Full | Vendor Response'!C104</f>
        <v>Yes</v>
      </c>
      <c r="D108" s="131">
        <f>'HECVAT - Full | Vendor Response'!D104</f>
        <v>0</v>
      </c>
      <c r="E108" s="143" t="s">
        <v>115</v>
      </c>
      <c r="F108" s="199" t="str">
        <f>VLOOKUP($A108,Questions!B$3:T$256,12,FALSE)</f>
        <v>Yes</v>
      </c>
      <c r="G108" s="208"/>
      <c r="H108" s="200">
        <f>VLOOKUP(A108,Questions!B$25:T$295,16,FALSE)</f>
        <v>20</v>
      </c>
      <c r="I108" s="206"/>
    </row>
    <row r="109" spans="1:10" ht="48" customHeight="1">
      <c r="A109" s="65" t="str">
        <f>'HECVAT - Full | Vendor Response'!A105</f>
        <v>AAAI-12</v>
      </c>
      <c r="B109" s="65" t="str">
        <f>'HECVAT - Full | Vendor Response'!B105</f>
        <v>If you don't support SSO, does your application and/or user-frontend/portal support multi-factor authentication? (e.g., Duo, Google Authenticator, OTP, etc.)</v>
      </c>
      <c r="C109" s="125">
        <f>'HECVAT - Full | Vendor Response'!C105</f>
        <v>0</v>
      </c>
      <c r="D109" s="131">
        <f>'HECVAT - Full | Vendor Response'!D105</f>
        <v>0</v>
      </c>
      <c r="E109" s="143" t="s">
        <v>115</v>
      </c>
      <c r="F109" s="199" t="str">
        <f>VLOOKUP($A109,Questions!B$3:T$256,12,FALSE)</f>
        <v>Yes</v>
      </c>
      <c r="G109" s="208"/>
      <c r="H109" s="200">
        <f>VLOOKUP(A109,Questions!B$25:T$295,16,FALSE)</f>
        <v>15</v>
      </c>
      <c r="I109" s="206"/>
    </row>
    <row r="110" spans="1:10" ht="48" customHeight="1">
      <c r="A110" s="65" t="str">
        <f>'HECVAT - Full | Vendor Response'!A106</f>
        <v>AAAI-13</v>
      </c>
      <c r="B110" s="65" t="str">
        <f>'HECVAT - Full | Vendor Response'!B106</f>
        <v>Does your application automatically lock the session or log-out an account after a period of inactivity?</v>
      </c>
      <c r="C110" s="125" t="str">
        <f>'HECVAT - Full | Vendor Response'!C106</f>
        <v>Yes</v>
      </c>
      <c r="D110" s="131" t="str">
        <f>'HECVAT - Full | Vendor Response'!D106</f>
        <v>60 minutes of inactivity will terminate the session</v>
      </c>
      <c r="E110" s="143" t="s">
        <v>115</v>
      </c>
      <c r="F110" s="199" t="str">
        <f>VLOOKUP($A110,Questions!B$3:T$256,12,FALSE)</f>
        <v>Yes</v>
      </c>
      <c r="G110" s="208"/>
      <c r="H110" s="200">
        <f>VLOOKUP(A110,Questions!B$25:T$295,16,FALSE)</f>
        <v>15</v>
      </c>
      <c r="I110" s="206"/>
    </row>
    <row r="111" spans="1:10" ht="48" customHeight="1">
      <c r="A111" s="65" t="str">
        <f>'HECVAT - Full | Vendor Response'!A107</f>
        <v>AAAI-14</v>
      </c>
      <c r="B111" s="65" t="str">
        <f>'HECVAT - Full | Vendor Response'!B107</f>
        <v>Are there any passwords/passphrases hard-coded into your systems or products?</v>
      </c>
      <c r="C111" s="125" t="str">
        <f>'HECVAT - Full | Vendor Response'!C107</f>
        <v>No</v>
      </c>
      <c r="D111" s="131">
        <f>'HECVAT - Full | Vendor Response'!D107</f>
        <v>0</v>
      </c>
      <c r="E111" s="143" t="s">
        <v>115</v>
      </c>
      <c r="F111" s="199" t="str">
        <f>VLOOKUP($A111,Questions!B$3:T$256,12,FALSE)</f>
        <v>No</v>
      </c>
      <c r="G111" s="208"/>
      <c r="H111" s="200">
        <f>VLOOKUP(A111,Questions!B$25:T$295,16,FALSE)</f>
        <v>25</v>
      </c>
      <c r="I111" s="206"/>
    </row>
    <row r="112" spans="1:10" ht="48" customHeight="1">
      <c r="A112" s="65" t="str">
        <f>'HECVAT - Full | Vendor Response'!A108</f>
        <v>AAAI-15</v>
      </c>
      <c r="B112" s="65" t="str">
        <f>'HECVAT - Full | Vendor Response'!B108</f>
        <v>Are you storing any passwords in plaintext?</v>
      </c>
      <c r="C112" s="125" t="str">
        <f>'HECVAT - Full | Vendor Response'!C108</f>
        <v>No</v>
      </c>
      <c r="D112" s="131">
        <f>'HECVAT - Full | Vendor Response'!D108</f>
        <v>0</v>
      </c>
      <c r="E112" s="143" t="s">
        <v>115</v>
      </c>
      <c r="F112" s="199" t="str">
        <f>VLOOKUP($A112,Questions!B$3:T$256,12,FALSE)</f>
        <v>No</v>
      </c>
      <c r="G112" s="208"/>
      <c r="H112" s="200">
        <f>VLOOKUP(A112,Questions!B$25:T$295,16,FALSE)</f>
        <v>25</v>
      </c>
      <c r="I112" s="206"/>
    </row>
    <row r="113" spans="1:10" ht="48" customHeight="1">
      <c r="A113" s="65" t="str">
        <f>'HECVAT - Full | Vendor Response'!A109</f>
        <v>AAAI-16</v>
      </c>
      <c r="B113" s="65" t="str">
        <f>'HECVAT - Full | Vendor Response'!B109</f>
        <v>Does your application support directory integration for user accounts?</v>
      </c>
      <c r="C113" s="125" t="str">
        <f>'HECVAT - Full | Vendor Response'!C109</f>
        <v>Yes</v>
      </c>
      <c r="D113" s="131" t="str">
        <f>'HECVAT - Full | Vendor Response'!D109</f>
        <v>Active Directory, LDAP, SAML2</v>
      </c>
      <c r="E113" s="143" t="s">
        <v>115</v>
      </c>
      <c r="F113" s="199" t="str">
        <f>VLOOKUP($A113,Questions!B$3:T$256,12,FALSE)</f>
        <v>Yes</v>
      </c>
      <c r="G113" s="208"/>
      <c r="H113" s="200">
        <f>VLOOKUP(A113,Questions!B$25:T$295,16,FALSE)</f>
        <v>20</v>
      </c>
      <c r="I113" s="206"/>
    </row>
    <row r="114" spans="1:10" ht="48" customHeight="1">
      <c r="A114" s="65" t="str">
        <f>'HECVAT - Full | Vendor Response'!A110</f>
        <v>AAAI-17</v>
      </c>
      <c r="B114" s="65" t="str">
        <f>'HECVAT - Full | Vendor Response'!B110</f>
        <v>Are audit logs available that include AT LEAST all of the following: login, logout, actions performed, and source IP address?</v>
      </c>
      <c r="C114" s="125" t="str">
        <f>'HECVAT - Full | Vendor Response'!C110</f>
        <v>Yes</v>
      </c>
      <c r="D114" s="131">
        <f>'HECVAT - Full | Vendor Response'!D110</f>
        <v>0</v>
      </c>
      <c r="E114" s="143" t="s">
        <v>115</v>
      </c>
      <c r="F114" s="199" t="str">
        <f>VLOOKUP($A114,Questions!B$3:T$256,12,FALSE)</f>
        <v>Yes</v>
      </c>
      <c r="G114" s="208"/>
      <c r="H114" s="200">
        <f>VLOOKUP(A114,Questions!B$25:T$295,16,FALSE)</f>
        <v>25</v>
      </c>
      <c r="I114" s="206"/>
    </row>
    <row r="115" spans="1:10" ht="48" customHeight="1">
      <c r="A115" s="124" t="str">
        <f>'HECVAT - Full | Vendor Response'!A111</f>
        <v>AAAI-18</v>
      </c>
      <c r="B115" s="124" t="str">
        <f>'HECVAT - Full | Vendor Response'!B111</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15" s="317" t="str">
        <f>'HECVAT - Full | Vendor Response'!C111</f>
        <v xml:space="preserve">Weave Education must ensure the Weave Platform has the capability to audit the following events:  
Successful and unsuccessful account logon events 
Account management events 
Object access  
Policy changes 
Privilege functions 
Process tracking  
System events 
All Weave Platform web applications must be capable of auditing the following events: 
Administrator activity 
Authentication checks 
Authorization checks 
Data deletions 
Data access 
Data changes 
Permission changes 
Continually Audited Events 
Weave Education selected the following subset of audit events to be audited continually for the Weave Platform: 
Successful and unsuccessful account logon events 
Account management events 
Object access  
Policy changes 
Privilege functions 
System events 
Weave Education selected the following subset of audit events to be audited continually for the web application portion of the Weave Platform: 
Administrator activity   
Authentication checks 
Authorization checks 
Data deletions 
Permission changes </v>
      </c>
      <c r="D115" s="318"/>
      <c r="E115" s="143" t="s">
        <v>115</v>
      </c>
      <c r="F115" s="201" t="s">
        <v>536</v>
      </c>
      <c r="G115" s="208"/>
      <c r="H115" s="202">
        <f>VLOOKUP(A115,Questions!B$25:T$295,16,FALSE)</f>
        <v>25</v>
      </c>
      <c r="I115" s="206"/>
    </row>
    <row r="116" spans="1:10" ht="114.95" customHeight="1">
      <c r="A116" s="124" t="str">
        <f>'HECVAT - Full | Vendor Response'!A112</f>
        <v>AAAI-19</v>
      </c>
      <c r="B116" s="124" t="str">
        <f>'HECVAT - Full | Vendor Response'!B112</f>
        <v>Describe or provide a reference to the retention period for those logs, how logs are protected, and whether they are accessible to the customer (and if so, how).</v>
      </c>
      <c r="C116" s="317" t="str">
        <f>'HECVAT - Full | Vendor Response'!C112</f>
        <v xml:space="preserve">The System Administrators configured Amazon CloudWatch / Amazon CloudWatch Logs to maintain audit records for a minimum of ninety (90) days as required by the Audit and Accountability Policy. By configuration access to the following services using AWS Identify and Access Management, Weave Education prevents unauthorized access, modification, and deletion of audit log records. The Access Administrators grant administrative access for audit services to the System Administrators only. They grant read access to the Security Manager.  </v>
      </c>
      <c r="D116" s="318"/>
      <c r="E116" s="143" t="s">
        <v>115</v>
      </c>
      <c r="F116" s="201" t="s">
        <v>536</v>
      </c>
      <c r="G116" s="208"/>
      <c r="H116" s="202">
        <f>VLOOKUP(A116,Questions!B$25:T$295,16,FALSE)</f>
        <v>25</v>
      </c>
      <c r="I116" s="206"/>
      <c r="J116" s="240"/>
    </row>
    <row r="117" spans="1:10" ht="48" customHeight="1">
      <c r="A117" s="129" t="str">
        <f>'HECVAT - Full | Vendor Response'!A113</f>
        <v>BCP - Respond to as many questions below as possible.</v>
      </c>
      <c r="B117" s="129"/>
      <c r="C117" s="126" t="s">
        <v>530</v>
      </c>
      <c r="D117" s="132" t="s">
        <v>95</v>
      </c>
      <c r="E117" s="134" t="s">
        <v>97</v>
      </c>
      <c r="F117" s="135" t="s">
        <v>532</v>
      </c>
      <c r="G117" s="126" t="s">
        <v>533</v>
      </c>
      <c r="H117" s="126" t="s">
        <v>534</v>
      </c>
      <c r="I117" s="136" t="s">
        <v>535</v>
      </c>
    </row>
    <row r="118" spans="1:10" ht="48" customHeight="1">
      <c r="A118" s="65" t="str">
        <f>'HECVAT - Full | Vendor Response'!A114</f>
        <v>BCPL-01</v>
      </c>
      <c r="B118" s="65" t="str">
        <f>'HECVAT - Full | Vendor Response'!B114</f>
        <v>Is an owner assigned who is responsible for the maintenance and review of the Business Continuity Plan?</v>
      </c>
      <c r="C118" s="125" t="str">
        <f>'HECVAT - Full | Vendor Response'!C114</f>
        <v>Yes</v>
      </c>
      <c r="D118" s="131" t="str">
        <f>'HECVAT - Full | Vendor Response'!D114</f>
        <v>The Weave System Owner and Security Manager are responsible for the maintenance and review of the Business Continuity Plan</v>
      </c>
      <c r="E118" s="143" t="s">
        <v>115</v>
      </c>
      <c r="F118" s="199" t="str">
        <f>VLOOKUP(A118,Questions!B$3:T$256,12,FALSE)</f>
        <v>Yes</v>
      </c>
      <c r="G118" s="208"/>
      <c r="H118" s="200">
        <f>VLOOKUP(A118,Questions!B$25:T$295,16,FALSE)</f>
        <v>20</v>
      </c>
      <c r="I118" s="206"/>
    </row>
    <row r="119" spans="1:10" ht="48" customHeight="1">
      <c r="A119" s="65" t="str">
        <f>'HECVAT - Full | Vendor Response'!A115</f>
        <v>BCPL-02</v>
      </c>
      <c r="B119" s="65" t="str">
        <f>'HECVAT - Full | Vendor Response'!B115</f>
        <v>Is there a defined problem/issue escalation plan in your BCP for impacted clients?</v>
      </c>
      <c r="C119" s="125" t="str">
        <f>'HECVAT - Full | Vendor Response'!C115</f>
        <v>Yes</v>
      </c>
      <c r="D119" s="131" t="str">
        <f>'HECVAT - Full | Vendor Response'!D115</f>
        <v xml:space="preserve">Weave Education may become aware of an outage or disruption from its staff or from customers. Customers generally report issues to the Helpdesk via a Zendesk ticket or a phone call. The Helpdesk forwards any reports of outage or disruption to the System Administrators who begin to assess the situation. The Helpdesk takes the lead on providing status updates to the initial customer. If any Contingency Plan Team member identifies an activity or issue that requires escalation to get prompt action, the Contingency Plan Team member escalates directly to both the Contingency Plan Manager and the Contingency Plan Director.  </v>
      </c>
      <c r="E119" s="143" t="s">
        <v>115</v>
      </c>
      <c r="F119" s="199" t="str">
        <f>VLOOKUP($A119,Questions!B$3:T$256,12,FALSE)</f>
        <v>Yes</v>
      </c>
      <c r="G119" s="208"/>
      <c r="H119" s="200">
        <f>VLOOKUP(A119,Questions!B$25:T$295,16,FALSE)</f>
        <v>20</v>
      </c>
      <c r="I119" s="206"/>
    </row>
    <row r="120" spans="1:10" ht="48" customHeight="1">
      <c r="A120" s="65" t="str">
        <f>'HECVAT - Full | Vendor Response'!A116</f>
        <v>BCPL-03</v>
      </c>
      <c r="B120" s="65" t="str">
        <f>'HECVAT - Full | Vendor Response'!B116</f>
        <v>Is there a documented communication plan in your BCP for impacted clients?</v>
      </c>
      <c r="C120" s="125" t="str">
        <f>'HECVAT - Full | Vendor Response'!C116</f>
        <v>Yes</v>
      </c>
      <c r="D120" s="131" t="str">
        <f>'HECVAT - Full | Vendor Response'!D116</f>
        <v xml:space="preserve">Based on potential widespread impact to customers during a Weave Platform outage or disruption, the Contingency Plan Director determines the best approach for communicating status awareness to customers and users.  Weave Education may use a combination of the following notification methods: 
The Helpdesk responds to individual customers based on tickets opened by those customers. 
The Member Success Team proactively communicates with all potentially impacted customers via email or phone. 
The Weave Education marketing website (www.weaveeducation.com) is updated to provide a status update to customers. </v>
      </c>
      <c r="E120" s="143" t="s">
        <v>115</v>
      </c>
      <c r="F120" s="199" t="str">
        <f>VLOOKUP($A120,Questions!B$3:T$256,12,FALSE)</f>
        <v>Yes</v>
      </c>
      <c r="G120" s="208"/>
      <c r="H120" s="200">
        <f>VLOOKUP(A120,Questions!B$25:T$295,16,FALSE)</f>
        <v>25</v>
      </c>
      <c r="I120" s="206"/>
    </row>
    <row r="121" spans="1:10" ht="48" customHeight="1">
      <c r="A121" s="65" t="str">
        <f>'HECVAT - Full | Vendor Response'!A117</f>
        <v>BCPL-04</v>
      </c>
      <c r="B121" s="65" t="str">
        <f>'HECVAT - Full | Vendor Response'!B117</f>
        <v>Are all components of the BCP reviewed at least annually and updated as needed to reflect change?</v>
      </c>
      <c r="C121" s="125" t="str">
        <f>'HECVAT - Full | Vendor Response'!C117</f>
        <v>Yes</v>
      </c>
      <c r="D121" s="131" t="str">
        <f>'HECVAT - Full | Vendor Response'!D117</f>
        <v>The contingency plan is reviewed annually by both the security manager and the system owner, and updated to include any system changes.</v>
      </c>
      <c r="E121" s="143" t="s">
        <v>115</v>
      </c>
      <c r="F121" s="199" t="str">
        <f>VLOOKUP($A121,Questions!B$3:T$256,12,FALSE)</f>
        <v>Yes</v>
      </c>
      <c r="G121" s="208"/>
      <c r="H121" s="200">
        <f>VLOOKUP(A121,Questions!B$25:T$295,16,FALSE)</f>
        <v>25</v>
      </c>
      <c r="I121" s="206"/>
    </row>
    <row r="122" spans="1:10" ht="48" customHeight="1">
      <c r="A122" s="65" t="str">
        <f>'HECVAT - Full | Vendor Response'!A118</f>
        <v>BCPL-05</v>
      </c>
      <c r="B122" s="65" t="str">
        <f>'HECVAT - Full | Vendor Response'!B118</f>
        <v>Are specific crisis management roles and responsibilities defined and documented?</v>
      </c>
      <c r="C122" s="125" t="str">
        <f>'HECVAT - Full | Vendor Response'!C118</f>
        <v>Yes</v>
      </c>
      <c r="D122" s="131" t="str">
        <f>'HECVAT - Full | Vendor Response'!D118</f>
        <v xml:space="preserve">​​Weave Education​ established multiple roles and responsibilities for responding to outages, disruptions, and disasters for the ​Weave Platform​. Individuals assigned roles for recovery operations collectively make up the Contingency Plan Team and are trained annually in their duties. Contingency Plan Team members are chosen based on their skills and knowledge. 
The Contingency Plan Team consists of personnel selected to perform the roles and responsibilities described in the sections that follow. All team leads are considered key personnel. </v>
      </c>
      <c r="E122" s="143" t="s">
        <v>115</v>
      </c>
      <c r="F122" s="199" t="str">
        <f>VLOOKUP($A122,Questions!B$3:T$256,12,FALSE)</f>
        <v>Yes</v>
      </c>
      <c r="G122" s="208"/>
      <c r="H122" s="200">
        <f>VLOOKUP(A122,Questions!B$25:T$295,16,FALSE)</f>
        <v>20</v>
      </c>
      <c r="I122" s="206"/>
    </row>
    <row r="123" spans="1:10" ht="48" customHeight="1">
      <c r="A123" s="65" t="str">
        <f>'HECVAT - Full | Vendor Response'!A119</f>
        <v>BCPL-06</v>
      </c>
      <c r="B123" s="65" t="str">
        <f>'HECVAT - Full | Vendor Response'!B119</f>
        <v>Does your organization conduct training and awareness activities to validate its employees' understanding of their roles and responsibilities during a crisis?</v>
      </c>
      <c r="C123" s="125" t="str">
        <f>'HECVAT - Full | Vendor Response'!C119</f>
        <v>Yes</v>
      </c>
      <c r="D123" s="131" t="str">
        <f>'HECVAT - Full | Vendor Response'!D119</f>
        <v>Training and awareness campaigns occur at least annually for all employees</v>
      </c>
      <c r="E123" s="143" t="s">
        <v>115</v>
      </c>
      <c r="F123" s="199" t="str">
        <f>VLOOKUP($A123,Questions!B$3:T$256,12,FALSE)</f>
        <v>Yes</v>
      </c>
      <c r="G123" s="208"/>
      <c r="H123" s="200">
        <f>VLOOKUP(A123,Questions!B$25:T$295,16,FALSE)</f>
        <v>20</v>
      </c>
      <c r="I123" s="206"/>
    </row>
    <row r="124" spans="1:10" ht="48" customHeight="1">
      <c r="A124" s="65" t="str">
        <f>'HECVAT - Full | Vendor Response'!A120</f>
        <v>BCPL-07</v>
      </c>
      <c r="B124" s="65" t="str">
        <f>'HECVAT - Full | Vendor Response'!B120</f>
        <v>Does your organization have an alternative business site or a contracted Business Recovery provider?</v>
      </c>
      <c r="C124" s="125" t="str">
        <f>'HECVAT - Full | Vendor Response'!C120</f>
        <v>Yes</v>
      </c>
      <c r="D124" s="131" t="str">
        <f>'HECVAT - Full | Vendor Response'!D120</f>
        <v>As AWS is Weave's IaaS provider, Weave can easily move to an alternate avialability zone.</v>
      </c>
      <c r="E124" s="143" t="s">
        <v>115</v>
      </c>
      <c r="F124" s="199" t="str">
        <f>VLOOKUP($A124,Questions!B$3:T$256,12,FALSE)</f>
        <v>Yes</v>
      </c>
      <c r="G124" s="208"/>
      <c r="H124" s="200">
        <f>VLOOKUP(A124,Questions!B$25:T$295,16,FALSE)</f>
        <v>20</v>
      </c>
      <c r="I124" s="206"/>
    </row>
    <row r="125" spans="1:10" ht="48" customHeight="1">
      <c r="A125" s="65" t="str">
        <f>'HECVAT - Full | Vendor Response'!A121</f>
        <v>BCPL-08</v>
      </c>
      <c r="B125" s="65" t="str">
        <f>'HECVAT - Full | Vendor Response'!B121</f>
        <v>Does your organization conduct an annual test of relocating to an alternate site for business recovery purposes?</v>
      </c>
      <c r="C125" s="125" t="str">
        <f>'HECVAT - Full | Vendor Response'!C121</f>
        <v>Yes</v>
      </c>
      <c r="D125" s="131" t="str">
        <f>'HECVAT - Full | Vendor Response'!D121</f>
        <v>As part of its annual testing, Weave conducts tabletop testing of moving to an alternate AWS availability zone.</v>
      </c>
      <c r="E125" s="143" t="s">
        <v>115</v>
      </c>
      <c r="F125" s="199" t="str">
        <f>VLOOKUP($A125,Questions!B$3:T$256,12,FALSE)</f>
        <v>Yes</v>
      </c>
      <c r="G125" s="208"/>
      <c r="H125" s="200">
        <f>VLOOKUP(A125,Questions!B$25:T$295,16,FALSE)</f>
        <v>20</v>
      </c>
      <c r="I125" s="206"/>
    </row>
    <row r="126" spans="1:10" ht="48" customHeight="1">
      <c r="A126" s="65" t="str">
        <f>'HECVAT - Full | Vendor Response'!A122</f>
        <v>BCPL-09</v>
      </c>
      <c r="B126" s="65" t="str">
        <f>'HECVAT - Full | Vendor Response'!B122</f>
        <v>Is this product a core service of your organization and, as such, the top priority during business continuity planning?</v>
      </c>
      <c r="C126" s="125" t="str">
        <f>'HECVAT - Full | Vendor Response'!C122</f>
        <v>Yes</v>
      </c>
      <c r="D126" s="131" t="str">
        <f>'HECVAT - Full | Vendor Response'!D122</f>
        <v>The Weave platform is Weave's only priority for business continuity planning.</v>
      </c>
      <c r="E126" s="143" t="s">
        <v>115</v>
      </c>
      <c r="F126" s="199" t="str">
        <f>VLOOKUP($A126,Questions!B$3:T$256,12,FALSE)</f>
        <v>Yes</v>
      </c>
      <c r="G126" s="208"/>
      <c r="H126" s="200">
        <f>VLOOKUP(A126,Questions!B$25:T$295,16,FALSE)</f>
        <v>15</v>
      </c>
      <c r="I126" s="206"/>
    </row>
    <row r="127" spans="1:10" ht="48" customHeight="1">
      <c r="A127" s="65" t="str">
        <f>'HECVAT - Full | Vendor Response'!A123</f>
        <v>BCPL-10</v>
      </c>
      <c r="B127" s="65" t="str">
        <f>'HECVAT - Full | Vendor Response'!B123</f>
        <v>Are all services that support your product fully redundant?</v>
      </c>
      <c r="C127" s="125" t="str">
        <f>'HECVAT - Full | Vendor Response'!C123</f>
        <v>Yes</v>
      </c>
      <c r="D127" s="131" t="str">
        <f>'HECVAT - Full | Vendor Response'!D123</f>
        <v>Weave Education utilizes DNSSEC with redundant DNS, and backps and multiple available zones in AWS.</v>
      </c>
      <c r="E127" s="143" t="s">
        <v>115</v>
      </c>
      <c r="F127" s="199" t="str">
        <f>VLOOKUP($A127,Questions!B$3:T$256,12,FALSE)</f>
        <v>Yes</v>
      </c>
      <c r="G127" s="208"/>
      <c r="H127" s="200">
        <f>VLOOKUP(A127,Questions!B$25:T$295,16,FALSE)</f>
        <v>25</v>
      </c>
      <c r="I127" s="206"/>
      <c r="J127" s="240"/>
    </row>
    <row r="128" spans="1:10" ht="48" customHeight="1">
      <c r="A128" s="320" t="str">
        <f>'HECVAT - Full | Vendor Response'!A124</f>
        <v>Change Management</v>
      </c>
      <c r="B128" s="320"/>
      <c r="C128" s="126" t="s">
        <v>530</v>
      </c>
      <c r="D128" s="132" t="s">
        <v>95</v>
      </c>
      <c r="E128" s="134" t="s">
        <v>97</v>
      </c>
      <c r="F128" s="135" t="s">
        <v>532</v>
      </c>
      <c r="G128" s="126" t="s">
        <v>533</v>
      </c>
      <c r="H128" s="126" t="s">
        <v>534</v>
      </c>
      <c r="I128" s="136" t="s">
        <v>535</v>
      </c>
    </row>
    <row r="129" spans="1:10" ht="48" customHeight="1">
      <c r="A129" s="65" t="str">
        <f>'HECVAT - Full | Vendor Response'!A125</f>
        <v>CHNG-01</v>
      </c>
      <c r="B129" s="65" t="str">
        <f>'HECVAT - Full | Vendor Response'!B125</f>
        <v>Does your Change Management process minimally include authorization, impact analysis, testing, and validation before moving changes to production?</v>
      </c>
      <c r="C129" s="125" t="str">
        <f>'HECVAT - Full | Vendor Response'!C125</f>
        <v>Yes</v>
      </c>
      <c r="D129" s="131" t="str">
        <f>'HECVAT - Full | Vendor Response'!D125</f>
        <v xml:space="preserve">Weave Education maintains a Change Control team that meets weekly in sprint kick-off meetings and daily for scrums. As part of the Change Control team, the Security Manager provides a Security Review for each release and a quarterly audit of release tickets. All system changes are tested and validated on the staging environment before releasing to production. </v>
      </c>
      <c r="E129" s="143" t="s">
        <v>115</v>
      </c>
      <c r="F129" s="199" t="str">
        <f>VLOOKUP($A129,Questions!B$3:T$256,12,FALSE)</f>
        <v>Yes</v>
      </c>
      <c r="G129" s="208"/>
      <c r="H129" s="200">
        <f>VLOOKUP(A129,Questions!B$25:T$295,16,FALSE)</f>
        <v>20</v>
      </c>
      <c r="I129" s="206"/>
    </row>
    <row r="130" spans="1:10" ht="48" customHeight="1">
      <c r="A130" s="65" t="str">
        <f>'HECVAT - Full | Vendor Response'!A126</f>
        <v>CHNG-02</v>
      </c>
      <c r="B130" s="65" t="str">
        <f>'HECVAT - Full | Vendor Response'!B126</f>
        <v>Does your Change Management process also verify that all required third-party libraries and dependencies are still supported with each major change?</v>
      </c>
      <c r="C130" s="125" t="str">
        <f>'HECVAT - Full | Vendor Response'!C126</f>
        <v>Yes</v>
      </c>
      <c r="D130" s="131" t="str">
        <f>'HECVAT - Full | Vendor Response'!D126</f>
        <v>Weave's change management process requires that all third-party libraries and dependencies are still supposed before any major platofrm change is released to production.</v>
      </c>
      <c r="E130" s="144" t="s">
        <v>115</v>
      </c>
      <c r="F130" s="199" t="str">
        <f>VLOOKUP($A130,Questions!B$3:T$256,12,FALSE)</f>
        <v>Yes</v>
      </c>
      <c r="G130" s="208"/>
      <c r="H130" s="200">
        <f>VLOOKUP(A130,Questions!B$25:T$295,16,FALSE)</f>
        <v>20</v>
      </c>
      <c r="I130" s="206"/>
    </row>
    <row r="131" spans="1:10" ht="48" customHeight="1">
      <c r="A131" s="65" t="str">
        <f>'HECVAT - Full | Vendor Response'!A127</f>
        <v>CHNG-03</v>
      </c>
      <c r="B131" s="65" t="str">
        <f>'HECVAT - Full | Vendor Response'!B127</f>
        <v>Will the institution be notified of major changes to your environment that could impact the institution's security posture?</v>
      </c>
      <c r="C131" s="125" t="str">
        <f>'HECVAT - Full | Vendor Response'!C127</f>
        <v>Yes</v>
      </c>
      <c r="D131" s="131" t="str">
        <f>'HECVAT - Full | Vendor Response'!D127</f>
        <v>Any major change to the Weave platform that afftects its security posture will be reported to institutions and to TX-RAMP.</v>
      </c>
      <c r="E131" s="143" t="s">
        <v>115</v>
      </c>
      <c r="F131" s="199" t="str">
        <f>VLOOKUP($A131,Questions!B$3:T$256,12,FALSE)</f>
        <v>Yes</v>
      </c>
      <c r="G131" s="208"/>
      <c r="H131" s="200">
        <f>VLOOKUP(A131,Questions!B$25:T$295,16,FALSE)</f>
        <v>25</v>
      </c>
      <c r="I131" s="206"/>
    </row>
    <row r="132" spans="1:10" ht="48" customHeight="1">
      <c r="A132" s="65" t="str">
        <f>'HECVAT - Full | Vendor Response'!A128</f>
        <v>CHNG-04</v>
      </c>
      <c r="B132" s="65" t="str">
        <f>'HECVAT - Full | Vendor Response'!B128</f>
        <v>Do clients have the option to not participate in or postpone an upgrade to a new release?</v>
      </c>
      <c r="C132" s="125" t="str">
        <f>'HECVAT - Full | Vendor Response'!C128</f>
        <v>No</v>
      </c>
      <c r="D132" s="131" t="str">
        <f>'HECVAT - Full | Vendor Response'!D128</f>
        <v>Weave has only one production environment and upgrades are performed for all customers.</v>
      </c>
      <c r="E132" s="143" t="s">
        <v>115</v>
      </c>
      <c r="F132" s="199" t="str">
        <f>VLOOKUP($A132,Questions!B$3:T$256,12,FALSE)</f>
        <v>Yes</v>
      </c>
      <c r="G132" s="208"/>
      <c r="H132" s="200">
        <f>VLOOKUP(A132,Questions!B$25:T$295,16,FALSE)</f>
        <v>10</v>
      </c>
      <c r="I132" s="206"/>
    </row>
    <row r="133" spans="1:10" ht="48" customHeight="1">
      <c r="A133" s="65" t="str">
        <f>'HECVAT - Full | Vendor Response'!A129</f>
        <v>CHNG-05</v>
      </c>
      <c r="B133" s="65" t="str">
        <f>'HECVAT - Full | Vendor Response'!B129</f>
        <v>Do you have a fully implemented solution support strategy that defines how many concurrent versions you support?</v>
      </c>
      <c r="C133" s="125" t="str">
        <f>'HECVAT - Full | Vendor Response'!C129</f>
        <v>Yes</v>
      </c>
      <c r="D133" s="131" t="str">
        <f>'HECVAT - Full | Vendor Response'!D129</f>
        <v>Weave only supports the most current version of Weave.</v>
      </c>
      <c r="E133" s="143" t="s">
        <v>115</v>
      </c>
      <c r="F133" s="199" t="str">
        <f>VLOOKUP($A133,Questions!B$3:T$256,12,FALSE)</f>
        <v>Yes</v>
      </c>
      <c r="G133" s="208"/>
      <c r="H133" s="200">
        <f>VLOOKUP(A133,Questions!B$25:T$295,16,FALSE)</f>
        <v>15</v>
      </c>
      <c r="I133" s="206"/>
    </row>
    <row r="134" spans="1:10" ht="48" customHeight="1">
      <c r="A134" s="65" t="str">
        <f>'HECVAT - Full | Vendor Response'!A130</f>
        <v>CHNG-06</v>
      </c>
      <c r="B134" s="65" t="str">
        <f>'HECVAT - Full | Vendor Response'!B130</f>
        <v>Does the system support client customizations from one release to another?</v>
      </c>
      <c r="C134" s="125" t="str">
        <f>'HECVAT - Full | Vendor Response'!C130</f>
        <v>Yes</v>
      </c>
      <c r="D134" s="131" t="str">
        <f>'HECVAT - Full | Vendor Response'!D130</f>
        <v>Client customizations are kept and supported from one release to another.</v>
      </c>
      <c r="E134" s="143" t="s">
        <v>115</v>
      </c>
      <c r="F134" s="199" t="str">
        <f>VLOOKUP($A134,Questions!B$3:T$256,12,FALSE)</f>
        <v>Yes</v>
      </c>
      <c r="G134" s="208"/>
      <c r="H134" s="200">
        <f>VLOOKUP(A134,Questions!B$25:T$295,16,FALSE)</f>
        <v>25</v>
      </c>
      <c r="I134" s="206"/>
    </row>
    <row r="135" spans="1:10" ht="48" customHeight="1">
      <c r="A135" s="65" t="str">
        <f>'HECVAT - Full | Vendor Response'!A131</f>
        <v>CHNG-07</v>
      </c>
      <c r="B135" s="65" t="str">
        <f>'HECVAT - Full | Vendor Response'!B131</f>
        <v>Do you have a release schedule for product updates?</v>
      </c>
      <c r="C135" s="125" t="str">
        <f>'HECVAT - Full | Vendor Response'!C131</f>
        <v>Yes</v>
      </c>
      <c r="D135" s="131" t="str">
        <f>'HECVAT - Full | Vendor Response'!D131</f>
        <v>Weave maintains an agile sprint and releases iterative updates once per week.</v>
      </c>
      <c r="E135" s="143" t="s">
        <v>115</v>
      </c>
      <c r="F135" s="199" t="str">
        <f>VLOOKUP($A135,Questions!B$3:T$256,12,FALSE)</f>
        <v>Yes</v>
      </c>
      <c r="G135" s="208"/>
      <c r="H135" s="200">
        <f>VLOOKUP(A135,Questions!B$25:T$295,16,FALSE)</f>
        <v>15</v>
      </c>
      <c r="I135" s="206"/>
    </row>
    <row r="136" spans="1:10" ht="48" customHeight="1">
      <c r="A136" s="65" t="str">
        <f>'HECVAT - Full | Vendor Response'!A132</f>
        <v>CHNG-08</v>
      </c>
      <c r="B136" s="65" t="str">
        <f>'HECVAT - Full | Vendor Response'!B132</f>
        <v>Do you have a technology roadmap, for at least the next two years, for enhancements and bug fixes for the product/service being assessed?</v>
      </c>
      <c r="C136" s="125" t="str">
        <f>'HECVAT - Full | Vendor Response'!C132</f>
        <v>Yes</v>
      </c>
      <c r="D136" s="131" t="str">
        <f>'HECVAT - Full | Vendor Response'!D132</f>
        <v>The product roadmap is available upon request.</v>
      </c>
      <c r="E136" s="143" t="s">
        <v>115</v>
      </c>
      <c r="F136" s="199" t="str">
        <f>VLOOKUP($A136,Questions!B$3:T$256,12,FALSE)</f>
        <v>Yes</v>
      </c>
      <c r="G136" s="208"/>
      <c r="H136" s="200">
        <f>VLOOKUP(A136,Questions!B$25:T$295,16,FALSE)</f>
        <v>15</v>
      </c>
      <c r="I136" s="206"/>
    </row>
    <row r="137" spans="1:10" ht="48" customHeight="1">
      <c r="A137" s="65" t="str">
        <f>'HECVAT - Full | Vendor Response'!A133</f>
        <v>CHNG-09</v>
      </c>
      <c r="B137" s="65" t="str">
        <f>'HECVAT - Full | Vendor Response'!B133</f>
        <v>Is institutional involvement (i.e., technically or organizationally) required during product updates?</v>
      </c>
      <c r="C137" s="125" t="str">
        <f>'HECVAT - Full | Vendor Response'!C133</f>
        <v>No</v>
      </c>
      <c r="D137" s="131" t="str">
        <f>'HECVAT - Full | Vendor Response'!D133</f>
        <v>While institutional involvement is not usually reuiqed during product updates, occasionally instutitons wil be brought in as beta testers or for feedback on future updates.</v>
      </c>
      <c r="E137" s="143" t="s">
        <v>115</v>
      </c>
      <c r="F137" s="199" t="str">
        <f>VLOOKUP($A137,Questions!B$3:T$256,12,FALSE)</f>
        <v>No</v>
      </c>
      <c r="G137" s="208"/>
      <c r="H137" s="200">
        <f>VLOOKUP(A137,Questions!B$25:T$295,16,FALSE)</f>
        <v>15</v>
      </c>
      <c r="I137" s="206"/>
    </row>
    <row r="138" spans="1:10" ht="48" customHeight="1">
      <c r="A138" s="65" t="str">
        <f>'HECVAT - Full | Vendor Response'!A134</f>
        <v>CHNG-10</v>
      </c>
      <c r="B138" s="65" t="str">
        <f>'HECVAT - Full | Vendor Response'!B134</f>
        <v>Do you have policy and procedure, currently implemented, managing how critical patches are applied to all systems and applications?</v>
      </c>
      <c r="C138" s="125" t="str">
        <f>'HECVAT - Full | Vendor Response'!C134</f>
        <v>Yes</v>
      </c>
      <c r="D138" s="131" t="str">
        <f>'HECVAT - Full | Vendor Response'!D134</f>
        <v xml:space="preserve">Weave Education defines the following types of changes as configuration controlled (See Change Control Process) for the platform.  
Adding new components (software or services)   
Modifying configuration settings to existing components   
Applying patches / fixes to components (software or services)  
Adding hardware components to the Weave Platform  
Defining new roles and/or permissions to manage and support the system from AWS  
Adding or updating application code  </v>
      </c>
      <c r="E138" s="143" t="s">
        <v>115</v>
      </c>
      <c r="F138" s="199" t="str">
        <f>VLOOKUP($A138,Questions!B$3:T$256,12,FALSE)</f>
        <v>Yes</v>
      </c>
      <c r="G138" s="208"/>
      <c r="H138" s="200">
        <f>VLOOKUP(A138,Questions!B$25:T$295,16,FALSE)</f>
        <v>20</v>
      </c>
      <c r="I138" s="206"/>
    </row>
    <row r="139" spans="1:10" ht="48" customHeight="1">
      <c r="A139" s="65" t="str">
        <f>'HECVAT - Full | Vendor Response'!A135</f>
        <v>CHNG-11</v>
      </c>
      <c r="B139" s="65" t="str">
        <f>'HECVAT - Full | Vendor Response'!B135</f>
        <v>Do you have policy and procedure, currently implemented, guiding how security risks are mitigated until patches can be applied?</v>
      </c>
      <c r="C139" s="125" t="str">
        <f>'HECVAT - Full | Vendor Response'!C135</f>
        <v>Yes</v>
      </c>
      <c r="D139" s="131" t="str">
        <f>'HECVAT - Full | Vendor Response'!D135</f>
        <v>Weave security manager conducts a weekly vulnerability scan and report. A list of security patches are assessed for risk and priroitized based on risk factor.</v>
      </c>
      <c r="E139" s="143" t="s">
        <v>115</v>
      </c>
      <c r="F139" s="199" t="str">
        <f>VLOOKUP($A139,Questions!B$3:T$256,12,FALSE)</f>
        <v>Yes</v>
      </c>
      <c r="G139" s="208"/>
      <c r="H139" s="200">
        <f>VLOOKUP(A139,Questions!B$25:T$295,16,FALSE)</f>
        <v>20</v>
      </c>
      <c r="I139" s="206"/>
    </row>
    <row r="140" spans="1:10" ht="48" customHeight="1">
      <c r="A140" s="65" t="str">
        <f>'HECVAT - Full | Vendor Response'!A136</f>
        <v>CHNG-12</v>
      </c>
      <c r="B140" s="65" t="str">
        <f>'HECVAT - Full | Vendor Response'!B136</f>
        <v>Are upgrades or system changes installed during off-peak hours or in a manner that does not impact the customer?</v>
      </c>
      <c r="C140" s="125" t="str">
        <f>'HECVAT - Full | Vendor Response'!C136</f>
        <v>Yes</v>
      </c>
      <c r="D140" s="131" t="str">
        <f>'HECVAT - Full | Vendor Response'!D136</f>
        <v>All updates are completed in a manner that will impact customers the least.</v>
      </c>
      <c r="E140" s="143" t="s">
        <v>115</v>
      </c>
      <c r="F140" s="199" t="str">
        <f>VLOOKUP($A140,Questions!B$3:T$256,12,FALSE)</f>
        <v>Yes</v>
      </c>
      <c r="G140" s="208"/>
      <c r="H140" s="200">
        <f>VLOOKUP(A140,Questions!B$25:T$295,16,FALSE)</f>
        <v>15</v>
      </c>
      <c r="I140" s="206"/>
    </row>
    <row r="141" spans="1:10" ht="48" customHeight="1">
      <c r="A141" s="65" t="str">
        <f>'HECVAT - Full | Vendor Response'!A137</f>
        <v>CHNG-13</v>
      </c>
      <c r="B141" s="65" t="str">
        <f>'HECVAT - Full | Vendor Response'!B137</f>
        <v>Do procedures exist to provide that emergency changes are documented and authorized (including after-the-fact approval)?</v>
      </c>
      <c r="C141" s="125" t="str">
        <f>'HECVAT - Full | Vendor Response'!C137</f>
        <v>Yes</v>
      </c>
      <c r="D141" s="131" t="str">
        <f>'HECVAT - Full | Vendor Response'!D137</f>
        <v>Any emergency changes go through Weave's regular change management process which includes full documentation, the sprint cycle, and a security review.</v>
      </c>
      <c r="E141" s="143" t="s">
        <v>115</v>
      </c>
      <c r="F141" s="199" t="str">
        <f>VLOOKUP($A141,Questions!B$3:T$256,12,FALSE)</f>
        <v>Yes</v>
      </c>
      <c r="G141" s="208"/>
      <c r="H141" s="200">
        <f>VLOOKUP(A141,Questions!B$25:T$295,16,FALSE)</f>
        <v>15</v>
      </c>
      <c r="I141" s="206"/>
    </row>
    <row r="142" spans="1:10" ht="48" customHeight="1">
      <c r="A142" s="65" t="str">
        <f>'HECVAT - Full | Vendor Response'!A138</f>
        <v>CHNG-14</v>
      </c>
      <c r="B142" s="65" t="str">
        <f>'HECVAT - Full | Vendor Response'!B138</f>
        <v>Do you have an implemented system configuration management process? (e.g.,secure "gold" images, etc.)</v>
      </c>
      <c r="C142" s="125" t="str">
        <f>'HECVAT - Full | Vendor Response'!C138</f>
        <v>Yes</v>
      </c>
      <c r="D142" s="131" t="str">
        <f>'HECVAT - Full | Vendor Response'!D138</f>
        <v>Weave has a full change and configuration management policy and procedure.</v>
      </c>
      <c r="E142" s="143" t="s">
        <v>115</v>
      </c>
      <c r="F142" s="199" t="str">
        <f>VLOOKUP($A142,Questions!B$3:T$256,12,FALSE)</f>
        <v>Yes</v>
      </c>
      <c r="G142" s="208"/>
      <c r="H142" s="200">
        <f>VLOOKUP(A142,Questions!B$25:T$295,16,FALSE)</f>
        <v>25</v>
      </c>
      <c r="I142" s="206"/>
    </row>
    <row r="143" spans="1:10" ht="48" customHeight="1">
      <c r="A143" s="65" t="str">
        <f>'HECVAT - Full | Vendor Response'!A139</f>
        <v>CHNG-15</v>
      </c>
      <c r="B143" s="65" t="str">
        <f>'HECVAT - Full | Vendor Response'!B139</f>
        <v>Do you have a systems management and configuration strategy that encompasses servers, appliances, cloud services, applications, and mobile devices (company and employee owned)?</v>
      </c>
      <c r="C143" s="125" t="str">
        <f>'HECVAT - Full | Vendor Response'!C139</f>
        <v>Yes</v>
      </c>
      <c r="D143" s="131" t="str">
        <f>'HECVAT - Full | Vendor Response'!D139</f>
        <v>Weave Education has a Configuration Management policy and procedure, as well as a Change Management process. These encompass all system management events and configuration strategy.</v>
      </c>
      <c r="E143" s="143" t="s">
        <v>115</v>
      </c>
      <c r="F143" s="199" t="str">
        <f>VLOOKUP($A143,Questions!B$3:T$256,12,FALSE)</f>
        <v>Yes</v>
      </c>
      <c r="G143" s="208"/>
      <c r="H143" s="200">
        <f>VLOOKUP(A143,Questions!B$25:T$295,16,FALSE)</f>
        <v>15</v>
      </c>
      <c r="I143" s="206"/>
      <c r="J143" s="240"/>
    </row>
    <row r="144" spans="1:10" ht="48" customHeight="1">
      <c r="A144" s="129" t="str">
        <f>'HECVAT - Full | Vendor Response'!A140</f>
        <v>Data</v>
      </c>
      <c r="B144" s="130"/>
      <c r="C144" s="126" t="s">
        <v>530</v>
      </c>
      <c r="D144" s="132" t="s">
        <v>95</v>
      </c>
      <c r="E144" s="134" t="s">
        <v>97</v>
      </c>
      <c r="F144" s="135" t="s">
        <v>532</v>
      </c>
      <c r="G144" s="126" t="s">
        <v>533</v>
      </c>
      <c r="H144" s="126" t="s">
        <v>534</v>
      </c>
      <c r="I144" s="136" t="s">
        <v>535</v>
      </c>
    </row>
    <row r="145" spans="1:9" ht="48" customHeight="1">
      <c r="A145" s="65" t="str">
        <f>'HECVAT - Full | Vendor Response'!A141</f>
        <v>DATA-01</v>
      </c>
      <c r="B145" s="65" t="str">
        <f>'HECVAT - Full | Vendor Response'!B141</f>
        <v>Does the environment provide for dedicated single-tenant capabilities? If not, describe how your product or environment separates data from different customers (e.g., logically, physically, single tenancy, multi-tenancy).</v>
      </c>
      <c r="C145" s="125" t="str">
        <f>'HECVAT - Full | Vendor Response'!C141</f>
        <v>No</v>
      </c>
      <c r="D145" s="131" t="str">
        <f>'HECVAT - Full | Vendor Response'!D141</f>
        <v>Weave is based in AWS multi-tenant IaaS that is logically separated.</v>
      </c>
      <c r="E145" s="143" t="s">
        <v>115</v>
      </c>
      <c r="F145" s="199" t="str">
        <f>VLOOKUP($A145,Questions!B$3:T$256,12,FALSE)</f>
        <v>Yes</v>
      </c>
      <c r="G145" s="208"/>
      <c r="H145" s="200">
        <f>VLOOKUP(A145,Questions!B$25:T$295,16,FALSE)</f>
        <v>15</v>
      </c>
      <c r="I145" s="206"/>
    </row>
    <row r="146" spans="1:9" ht="48" customHeight="1">
      <c r="A146" s="65" t="str">
        <f>'HECVAT - Full | Vendor Response'!A142</f>
        <v>DATA-02</v>
      </c>
      <c r="B146" s="65" t="str">
        <f>'HECVAT - Full | Vendor Response'!B142</f>
        <v>Will the institution's data be stored on any devices (database servers, file servers, SAN, NAS, etc.) configured with non-RFC 1918/4193 (i.e., publicly routable) IP addresses?</v>
      </c>
      <c r="C146" s="125" t="str">
        <f>'HECVAT - Full | Vendor Response'!C142</f>
        <v>No</v>
      </c>
      <c r="D146" s="131">
        <f>'HECVAT - Full | Vendor Response'!D142</f>
        <v>0</v>
      </c>
      <c r="E146" s="143" t="s">
        <v>115</v>
      </c>
      <c r="F146" s="199" t="str">
        <f>VLOOKUP($A146,Questions!B$3:T$256,12,FALSE)</f>
        <v>No</v>
      </c>
      <c r="G146" s="208"/>
      <c r="H146" s="200">
        <f>VLOOKUP(A146,Questions!B$25:T$295,16,FALSE)</f>
        <v>25</v>
      </c>
      <c r="I146" s="206"/>
    </row>
    <row r="147" spans="1:9" ht="48" customHeight="1">
      <c r="A147" s="65" t="str">
        <f>'HECVAT - Full | Vendor Response'!A143</f>
        <v>DATA-03</v>
      </c>
      <c r="B147" s="65" t="str">
        <f>'HECVAT - Full | Vendor Response'!B143</f>
        <v>Is sensitive data encrypted, using secure protocols/algorithms, in transport? (e.g., system-to-client)</v>
      </c>
      <c r="C147" s="125" t="str">
        <f>'HECVAT - Full | Vendor Response'!C143</f>
        <v>Yes</v>
      </c>
      <c r="D147" s="131" t="str">
        <f>'HECVAT - Full | Vendor Response'!D143</f>
        <v xml:space="preserve">Weave Education logically protects the confidentiality and integrity of transmitted information by employing TLS 1.3 encryption techniques. </v>
      </c>
      <c r="E147" s="143" t="s">
        <v>115</v>
      </c>
      <c r="F147" s="199" t="str">
        <f>VLOOKUP($A147,Questions!B$3:T$256,12,FALSE)</f>
        <v>Yes</v>
      </c>
      <c r="G147" s="208"/>
      <c r="H147" s="200">
        <f>VLOOKUP(A147,Questions!B$25:T$295,16,FALSE)</f>
        <v>40</v>
      </c>
      <c r="I147" s="206"/>
    </row>
    <row r="148" spans="1:9" ht="48" customHeight="1">
      <c r="A148" s="65" t="str">
        <f>'HECVAT - Full | Vendor Response'!A144</f>
        <v>DATA-04</v>
      </c>
      <c r="B148" s="65" t="str">
        <f>'HECVAT - Full | Vendor Response'!B144</f>
        <v>Is sensitive data encrypted, using secure protocols/algorithms, in storage? (e.g., disk encryption, at-rest, files, and within a running database)</v>
      </c>
      <c r="C148" s="125" t="str">
        <f>'HECVAT - Full | Vendor Response'!C144</f>
        <v>Yes</v>
      </c>
      <c r="D148" s="131" t="str">
        <f>'HECVAT - Full | Vendor Response'!D144</f>
        <v xml:space="preserve">Weave Education employs AWS services using AWS managed keys which are stored in AWS KMS. 
Weave Education does not permit storage of unencrypted keys related to the Weave Platform. Encryption keys related to the Weave Platform may not be stored in any service outside of the Weave Platform components.   
AWS Key Management Service is used when there is a requirement to store encryption keys.    
AWS Secrets Manager is used when there is a requirement to store secrets.  </v>
      </c>
      <c r="E148" s="143" t="s">
        <v>115</v>
      </c>
      <c r="F148" s="199" t="str">
        <f>VLOOKUP($A148,Questions!B$3:T$256,12,FALSE)</f>
        <v>Yes</v>
      </c>
      <c r="G148" s="208"/>
      <c r="H148" s="200">
        <f>VLOOKUP(A148,Questions!B$25:T$295,16,FALSE)</f>
        <v>25</v>
      </c>
      <c r="I148" s="206"/>
    </row>
    <row r="149" spans="1:9" ht="48" customHeight="1">
      <c r="A149" s="65" t="str">
        <f>'HECVAT - Full | Vendor Response'!A145</f>
        <v>DATA-05</v>
      </c>
      <c r="B149" s="65" t="str">
        <f>'HECVAT - Full | Vendor Response'!B145</f>
        <v>Do all cryptographic modules in use in your product conform to the Federal Information Processing Standards (FIPS PUB 140-3)?</v>
      </c>
      <c r="C149" s="125" t="str">
        <f>'HECVAT - Full | Vendor Response'!C145</f>
        <v>Yes</v>
      </c>
      <c r="D149" s="131" t="str">
        <f>'HECVAT - Full | Vendor Response'!D145</f>
        <v>AWS Key Management Service</v>
      </c>
      <c r="E149" s="143" t="s">
        <v>115</v>
      </c>
      <c r="F149" s="199" t="str">
        <f>VLOOKUP($A149,Questions!B$3:T$256,12,FALSE)</f>
        <v>Yes</v>
      </c>
      <c r="G149" s="208"/>
      <c r="H149" s="200">
        <f>VLOOKUP(A149,Questions!B$25:T$295,16,FALSE)</f>
        <v>25</v>
      </c>
      <c r="I149" s="206"/>
    </row>
    <row r="150" spans="1:9" ht="48" customHeight="1">
      <c r="A150" s="65" t="str">
        <f>'HECVAT - Full | Vendor Response'!A146</f>
        <v>DATA-06</v>
      </c>
      <c r="B150" s="65" t="str">
        <f>'HECVAT - Full | Vendor Response'!B146</f>
        <v>At the completion of this contract, will data be returned to the institution and deleted from all your systems and archives?</v>
      </c>
      <c r="C150" s="125" t="str">
        <f>'HECVAT - Full | Vendor Response'!C146</f>
        <v>Yes</v>
      </c>
      <c r="D150" s="131" t="str">
        <f>'HECVAT - Full | Vendor Response'!D146</f>
        <v>Institutions have 30 days from the date of non-renewal to download their data before it is permanently deleted from the Weave servers.</v>
      </c>
      <c r="E150" s="143" t="s">
        <v>115</v>
      </c>
      <c r="F150" s="199" t="str">
        <f>VLOOKUP($A150,Questions!B$3:T$256,12,FALSE)</f>
        <v>Yes</v>
      </c>
      <c r="G150" s="208"/>
      <c r="H150" s="200">
        <f>VLOOKUP(A150,Questions!B$25:T$295,16,FALSE)</f>
        <v>20</v>
      </c>
      <c r="I150" s="206"/>
    </row>
    <row r="151" spans="1:9" ht="48" customHeight="1">
      <c r="A151" s="65" t="str">
        <f>'HECVAT - Full | Vendor Response'!A147</f>
        <v>DATA-07</v>
      </c>
      <c r="B151" s="65" t="str">
        <f>'HECVAT - Full | Vendor Response'!B147</f>
        <v>Will the institution's data be available within the system for a period of time at the completion of this contract?</v>
      </c>
      <c r="C151" s="125" t="str">
        <f>'HECVAT - Full | Vendor Response'!C147</f>
        <v>Yes</v>
      </c>
      <c r="D151" s="131" t="str">
        <f>'HECVAT - Full | Vendor Response'!D147</f>
        <v>Institutions have 30 days from the date of non-renewal to download their data before it is permanently deleted from the Weave servers.</v>
      </c>
      <c r="E151" s="143" t="s">
        <v>115</v>
      </c>
      <c r="F151" s="199" t="str">
        <f>VLOOKUP($A151,Questions!B$3:T$256,12,FALSE)</f>
        <v>Yes</v>
      </c>
      <c r="G151" s="208"/>
      <c r="H151" s="202">
        <f>VLOOKUP(A151,Questions!B$25:T$295,16,FALSE)</f>
        <v>25</v>
      </c>
      <c r="I151" s="206"/>
    </row>
    <row r="152" spans="1:9" ht="48" customHeight="1">
      <c r="A152" s="65" t="str">
        <f>'HECVAT - Full | Vendor Response'!A148</f>
        <v>DATA-08</v>
      </c>
      <c r="B152" s="65" t="str">
        <f>'HECVAT - Full | Vendor Response'!B148</f>
        <v>Can the institution extract a full or partial backup of data?</v>
      </c>
      <c r="C152" s="125" t="str">
        <f>'HECVAT - Full | Vendor Response'!C148</f>
        <v>Yes</v>
      </c>
      <c r="D152" s="131" t="str">
        <f>'HECVAT - Full | Vendor Response'!D148</f>
        <v>Institutions can download their full data at any time to retain as their own backups.</v>
      </c>
      <c r="E152" s="143" t="s">
        <v>115</v>
      </c>
      <c r="F152" s="201" t="str">
        <f>VLOOKUP($A152,Questions!B$3:T$256,12,FALSE)</f>
        <v>Yes</v>
      </c>
      <c r="G152" s="208"/>
      <c r="H152" s="202">
        <f>VLOOKUP(A152,Questions!B$25:T$295,16,FALSE)</f>
        <v>20</v>
      </c>
      <c r="I152" s="206"/>
    </row>
    <row r="153" spans="1:9" ht="48" customHeight="1">
      <c r="A153" s="65" t="str">
        <f>'HECVAT - Full | Vendor Response'!A149</f>
        <v>DATA-09</v>
      </c>
      <c r="B153" s="65" t="str">
        <f>'HECVAT - Full | Vendor Response'!B149</f>
        <v>Are ownership rights to all data, inputs, outputs, and metadata retained by the institution?</v>
      </c>
      <c r="C153" s="125" t="str">
        <f>'HECVAT - Full | Vendor Response'!C149</f>
        <v>Yes</v>
      </c>
      <c r="D153" s="131" t="str">
        <f>'HECVAT - Full | Vendor Response'!D149</f>
        <v>Institutions retain rights to all data and can ask it to be deleted at any time.</v>
      </c>
      <c r="E153" s="143" t="s">
        <v>115</v>
      </c>
      <c r="F153" s="201" t="str">
        <f>VLOOKUP($A153,Questions!B$3:T$256,12,FALSE)</f>
        <v>Yes</v>
      </c>
      <c r="G153" s="208"/>
      <c r="H153" s="202">
        <f>VLOOKUP(A153,Questions!B$25:T$295,16,FALSE)</f>
        <v>15</v>
      </c>
      <c r="I153" s="206"/>
    </row>
    <row r="154" spans="1:9" ht="48" customHeight="1">
      <c r="A154" s="65" t="str">
        <f>'HECVAT - Full | Vendor Response'!A150</f>
        <v>DATA-10</v>
      </c>
      <c r="B154" s="65" t="str">
        <f>'HECVAT - Full | Vendor Response'!B150</f>
        <v>Are these rights retained even through a provider acquisition or bankruptcy event?</v>
      </c>
      <c r="C154" s="125" t="str">
        <f>'HECVAT - Full | Vendor Response'!C150</f>
        <v>Yes</v>
      </c>
      <c r="D154" s="131">
        <f>'HECVAT - Full | Vendor Response'!D150</f>
        <v>0</v>
      </c>
      <c r="E154" s="143" t="s">
        <v>115</v>
      </c>
      <c r="F154" s="201" t="str">
        <f>VLOOKUP($A154,Questions!B$3:T$256,12,FALSE)</f>
        <v>Yes</v>
      </c>
      <c r="G154" s="208"/>
      <c r="H154" s="202">
        <f>VLOOKUP(A154,Questions!B$25:T$295,16,FALSE)</f>
        <v>25</v>
      </c>
      <c r="I154" s="206"/>
    </row>
    <row r="155" spans="1:9" ht="48" customHeight="1">
      <c r="A155" s="65" t="str">
        <f>'HECVAT - Full | Vendor Response'!A151</f>
        <v>DATA-11</v>
      </c>
      <c r="B155" s="65" t="str">
        <f>'HECVAT - Full | Vendor Response'!B151</f>
        <v>In the event of imminent bankruptcy, closing of business, or retirement of service, will you provide 90 days for customers to get their data out of the system and migrate applications?</v>
      </c>
      <c r="C155" s="125" t="str">
        <f>'HECVAT - Full | Vendor Response'!C151</f>
        <v>Yes</v>
      </c>
      <c r="D155" s="131" t="str">
        <f>'HECVAT - Full | Vendor Response'!D151</f>
        <v>Upon imminent bankruptcy, closing of business, or retirement of service, Weave Education will give customers 90 days for customers to download their data.</v>
      </c>
      <c r="E155" s="143" t="s">
        <v>115</v>
      </c>
      <c r="F155" s="201" t="str">
        <f>VLOOKUP($A155,Questions!B$3:T$256,12,FALSE)</f>
        <v>Yes</v>
      </c>
      <c r="G155" s="208"/>
      <c r="H155" s="202">
        <f>VLOOKUP(A155,Questions!B$25:T$295,16,FALSE)</f>
        <v>15</v>
      </c>
      <c r="I155" s="206"/>
    </row>
    <row r="156" spans="1:9" ht="48" customHeight="1">
      <c r="A156" s="65" t="str">
        <f>'HECVAT - Full | Vendor Response'!A152</f>
        <v>DATA-12</v>
      </c>
      <c r="B156" s="65" t="str">
        <f>'HECVAT - Full | Vendor Response'!B152</f>
        <v>Are involatile backup copies made according to predefined schedules and securely stored and protected?</v>
      </c>
      <c r="C156" s="125" t="str">
        <f>'HECVAT - Full | Vendor Response'!C152</f>
        <v>Yes</v>
      </c>
      <c r="D156" s="131" t="str">
        <f>'HECVAT - Full | Vendor Response'!D152</f>
        <v>Weave uses AWS Backup service to securely and routinely make and store backups.</v>
      </c>
      <c r="E156" s="143" t="s">
        <v>115</v>
      </c>
      <c r="F156" s="201" t="str">
        <f>VLOOKUP($A156,Questions!B$3:T$256,12,FALSE)</f>
        <v>Yes</v>
      </c>
      <c r="G156" s="208"/>
      <c r="H156" s="202">
        <f>VLOOKUP(A156,Questions!B$25:T$295,16,FALSE)</f>
        <v>15</v>
      </c>
      <c r="I156" s="206"/>
    </row>
    <row r="157" spans="1:9" ht="48" customHeight="1">
      <c r="A157" s="65" t="str">
        <f>'HECVAT - Full | Vendor Response'!A153</f>
        <v>DATA-13</v>
      </c>
      <c r="B157" s="65" t="str">
        <f>'HECVAT - Full | Vendor Response'!B153</f>
        <v>Do current backups include all operating system software, utilities, security software, application software, and data files necessary for recovery?</v>
      </c>
      <c r="C157" s="125" t="str">
        <f>'HECVAT - Full | Vendor Response'!C153</f>
        <v>Yes</v>
      </c>
      <c r="D157" s="131" t="str">
        <f>'HECVAT - Full | Vendor Response'!D153</f>
        <v>Weave Education utilizes AWS Backup and ensures that everything necessary for a full recovery is included. Weave compiles weekly full backups and daily incrementals.</v>
      </c>
      <c r="E157" s="143" t="s">
        <v>115</v>
      </c>
      <c r="F157" s="201" t="str">
        <f>VLOOKUP($A157,Questions!B$3:T$256,12,FALSE)</f>
        <v>Yes</v>
      </c>
      <c r="G157" s="208"/>
      <c r="H157" s="202">
        <f>VLOOKUP(A157,Questions!B$25:T$295,16,FALSE)</f>
        <v>20</v>
      </c>
      <c r="I157" s="206"/>
    </row>
    <row r="158" spans="1:9" ht="48" customHeight="1">
      <c r="A158" s="65" t="str">
        <f>'HECVAT - Full | Vendor Response'!A154</f>
        <v>DATA-14</v>
      </c>
      <c r="B158" s="65" t="str">
        <f>'HECVAT - Full | Vendor Response'!B154</f>
        <v>Are you performing off-site backups? (i.e., digitally moved off site)</v>
      </c>
      <c r="C158" s="125" t="str">
        <f>'HECVAT - Full | Vendor Response'!C154</f>
        <v>Yes</v>
      </c>
      <c r="D158" s="131" t="str">
        <f>'HECVAT - Full | Vendor Response'!D154</f>
        <v>AWS Backup utilized multiple availability zones</v>
      </c>
      <c r="E158" s="143" t="s">
        <v>115</v>
      </c>
      <c r="F158" s="201" t="str">
        <f>VLOOKUP($A158,Questions!B$3:T$256,12,FALSE)</f>
        <v>Yes</v>
      </c>
      <c r="G158" s="208"/>
      <c r="H158" s="202">
        <f>VLOOKUP(A158,Questions!B$25:T$295,16,FALSE)</f>
        <v>20</v>
      </c>
      <c r="I158" s="206"/>
    </row>
    <row r="159" spans="1:9" ht="48" customHeight="1">
      <c r="A159" s="65" t="str">
        <f>'HECVAT - Full | Vendor Response'!A155</f>
        <v>DATA-15</v>
      </c>
      <c r="B159" s="65" t="str">
        <f>'HECVAT - Full | Vendor Response'!B155</f>
        <v>Are physical backups taken off site? (i.e., physically moved off site)</v>
      </c>
      <c r="C159" s="125" t="str">
        <f>'HECVAT - Full | Vendor Response'!C155</f>
        <v>No</v>
      </c>
      <c r="D159" s="131" t="str">
        <f>'HECVAT - Full | Vendor Response'!D155</f>
        <v>Weave Education does not store any physical backups. They are all in AWS.</v>
      </c>
      <c r="E159" s="143" t="s">
        <v>115</v>
      </c>
      <c r="F159" s="201" t="str">
        <f>VLOOKUP($A159,Questions!B$3:T$256,12,FALSE)</f>
        <v>Yes</v>
      </c>
      <c r="G159" s="208"/>
      <c r="H159" s="202">
        <f>VLOOKUP(A159,Questions!B$25:T$295,16,FALSE)</f>
        <v>20</v>
      </c>
      <c r="I159" s="206"/>
    </row>
    <row r="160" spans="1:9" ht="65.45" customHeight="1">
      <c r="A160" s="65" t="str">
        <f>'HECVAT - Full | Vendor Response'!A156</f>
        <v>DATA-16</v>
      </c>
      <c r="B160" s="65" t="str">
        <f>'HECVAT - Full | Vendor Response'!B156</f>
        <v>Do backups containing the institution's data ever leave the institution's data zone either physically or via network routing?</v>
      </c>
      <c r="C160" s="125" t="str">
        <f>'HECVAT - Full | Vendor Response'!C156</f>
        <v>Yes</v>
      </c>
      <c r="D160" s="131" t="str">
        <f>'HECVAT - Full | Vendor Response'!D156</f>
        <v>No, but if the backups need to be moved to a new AWS availability zone, they will.</v>
      </c>
      <c r="E160" s="143" t="s">
        <v>115</v>
      </c>
      <c r="F160" s="201" t="str">
        <f>VLOOKUP($A160,Questions!B$3:T$256,12,FALSE)</f>
        <v>No</v>
      </c>
      <c r="G160" s="208"/>
      <c r="H160" s="202">
        <f>VLOOKUP(A160,Questions!B$25:T$295,16,FALSE)</f>
        <v>25</v>
      </c>
      <c r="I160" s="206"/>
    </row>
    <row r="161" spans="1:10" ht="48" customHeight="1">
      <c r="A161" s="65" t="str">
        <f>'HECVAT - Full | Vendor Response'!A157</f>
        <v>DATA-17</v>
      </c>
      <c r="B161" s="65" t="str">
        <f>'HECVAT - Full | Vendor Response'!B157</f>
        <v>Are data backups encrypted?</v>
      </c>
      <c r="C161" s="125" t="str">
        <f>'HECVAT - Full | Vendor Response'!C157</f>
        <v>Yes</v>
      </c>
      <c r="D161" s="131" t="str">
        <f>'HECVAT - Full | Vendor Response'!D157</f>
        <v>AWS Backup encrypts its backups</v>
      </c>
      <c r="E161" s="143" t="s">
        <v>115</v>
      </c>
      <c r="F161" s="199" t="str">
        <f>VLOOKUP($A161,Questions!B$3:T$256,12,FALSE)</f>
        <v>Yes</v>
      </c>
      <c r="G161" s="208"/>
      <c r="H161" s="200">
        <f>VLOOKUP(A161,Questions!B$25:T$295,16,FALSE)</f>
        <v>15</v>
      </c>
      <c r="I161" s="206"/>
    </row>
    <row r="162" spans="1:10" ht="48" customHeight="1">
      <c r="A162" s="65" t="str">
        <f>'HECVAT - Full | Vendor Response'!A158</f>
        <v>DATA-18</v>
      </c>
      <c r="B162" s="65" t="str">
        <f>'HECVAT - Full | Vendor Response'!B158</f>
        <v>Do you have a cryptographic key management process (generation, exchange, storage, safeguards, use, vetting, and replacement) that is documented and currently implemented, for all system components? (e.g., database, system, web, etc.)</v>
      </c>
      <c r="C162" s="125" t="str">
        <f>'HECVAT - Full | Vendor Response'!C158</f>
        <v>Yes</v>
      </c>
      <c r="D162" s="131" t="str">
        <f>'HECVAT - Full | Vendor Response'!D158</f>
        <v xml:space="preserve">The AWS services Weave uses provide encryption of data using AWS managed keys. These AWS managed keys are AWS Key Management Service (AWS KMS) keys created, managed, and used by the AWS services within Weave Education’s AWS account, and those services integrate with AWS KMS. </v>
      </c>
      <c r="E162" s="143" t="s">
        <v>115</v>
      </c>
      <c r="F162" s="199" t="str">
        <f>VLOOKUP($A162,Questions!B$3:T$256,12,FALSE)</f>
        <v>Yes</v>
      </c>
      <c r="G162" s="208"/>
      <c r="H162" s="200">
        <f>VLOOKUP(A162,Questions!B$25:T$295,16,FALSE)</f>
        <v>10</v>
      </c>
      <c r="I162" s="206"/>
    </row>
    <row r="163" spans="1:10" ht="48" customHeight="1">
      <c r="A163" s="65" t="str">
        <f>'HECVAT - Full | Vendor Response'!A159</f>
        <v>DATA-19</v>
      </c>
      <c r="B163" s="65" t="str">
        <f>'HECVAT - Full | Vendor Response'!B159</f>
        <v>Do you have a media handling process that is documented and currently implemented that meets established business needs and regulatory requirements, including end-of-life, repurposing and data sanitization procedures?</v>
      </c>
      <c r="C163" s="125" t="str">
        <f>'HECVAT - Full | Vendor Response'!C159</f>
        <v>Yes</v>
      </c>
      <c r="D163" s="131" t="str">
        <f>'HECVAT - Full | Vendor Response'!D159</f>
        <v>Weave inherits media handling processes from AWS</v>
      </c>
      <c r="E163" s="143" t="s">
        <v>115</v>
      </c>
      <c r="F163" s="199" t="str">
        <f>VLOOKUP($A163,Questions!B$3:T$256,12,FALSE)</f>
        <v>Yes</v>
      </c>
      <c r="G163" s="208"/>
      <c r="H163" s="200">
        <f>VLOOKUP(A163,Questions!B$25:T$295,16,FALSE)</f>
        <v>20</v>
      </c>
      <c r="I163" s="206"/>
    </row>
    <row r="164" spans="1:10" ht="48" customHeight="1">
      <c r="A164" s="65" t="str">
        <f>'HECVAT - Full | Vendor Response'!A160</f>
        <v>DATA-20</v>
      </c>
      <c r="B164" s="65" t="str">
        <f>'HECVAT - Full | Vendor Response'!B160</f>
        <v>Does the process described in DATA-19 adhere to DoD 5220.22-M and/or NIST SP 800-88 standards?</v>
      </c>
      <c r="C164" s="125" t="str">
        <f>'HECVAT - Full | Vendor Response'!C160</f>
        <v>Yes</v>
      </c>
      <c r="D164" s="131" t="str">
        <f>'HECVAT - Full | Vendor Response'!D160</f>
        <v>Weave inherits media handling processes from AWS</v>
      </c>
      <c r="E164" s="143" t="s">
        <v>115</v>
      </c>
      <c r="F164" s="199" t="str">
        <f>VLOOKUP($A164,Questions!B$3:T$256,12,FALSE)</f>
        <v>Yes</v>
      </c>
      <c r="G164" s="208"/>
      <c r="H164" s="200">
        <f>VLOOKUP(A164,Questions!B$25:T$295,16,FALSE)</f>
        <v>20</v>
      </c>
      <c r="I164" s="206"/>
    </row>
    <row r="165" spans="1:10" ht="48" customHeight="1">
      <c r="A165" s="65" t="str">
        <f>'HECVAT - Full | Vendor Response'!A161</f>
        <v>DATA-21</v>
      </c>
      <c r="B165" s="65" t="str">
        <f>'HECVAT - Full | Vendor Response'!B161</f>
        <v>Is media used for long-term retention of business data and archival purposes stored in a secure, environmentally protected area?</v>
      </c>
      <c r="C165" s="125" t="str">
        <f>'HECVAT - Full | Vendor Response'!C161</f>
        <v>Yes</v>
      </c>
      <c r="D165" s="131" t="str">
        <f>'HECVAT - Full | Vendor Response'!D161</f>
        <v>Weave inherits media storage processes from AWS</v>
      </c>
      <c r="E165" s="143" t="s">
        <v>115</v>
      </c>
      <c r="F165" s="199" t="str">
        <f>VLOOKUP($A165,Questions!B$3:T$256,12,FALSE)</f>
        <v>Yes</v>
      </c>
      <c r="G165" s="208"/>
      <c r="H165" s="200">
        <f>VLOOKUP(A165,Questions!B$25:T$295,16,FALSE)</f>
        <v>25</v>
      </c>
      <c r="I165" s="206"/>
    </row>
    <row r="166" spans="1:10" ht="48" customHeight="1">
      <c r="A166" s="65" t="str">
        <f>'HECVAT - Full | Vendor Response'!A162</f>
        <v>DATA-22</v>
      </c>
      <c r="B166" s="65" t="str">
        <f>'HECVAT - Full | Vendor Response'!B162</f>
        <v>Will you handle data in a FERPA-compliant manner?</v>
      </c>
      <c r="C166" s="125" t="str">
        <f>'HECVAT - Full | Vendor Response'!C162</f>
        <v>Yes</v>
      </c>
      <c r="D166" s="131" t="str">
        <f>'HECVAT - Full | Vendor Response'!D162</f>
        <v>FERPA compliance is integrated in Weave's privacy policy and procedures as noted in Weave's Privacy Policy: https://weaveeducation.com/wp-content/uploads/Weave-Privacy-Policy.pdf</v>
      </c>
      <c r="E166" s="143" t="s">
        <v>115</v>
      </c>
      <c r="F166" s="199" t="str">
        <f>VLOOKUP($A166,Questions!B$3:T$256,12,FALSE)</f>
        <v>Yes</v>
      </c>
      <c r="G166" s="208"/>
      <c r="H166" s="200">
        <f>VLOOKUP(A166,Questions!B$25:T$295,16,FALSE)</f>
        <v>15</v>
      </c>
      <c r="I166" s="206"/>
    </row>
    <row r="167" spans="1:10" ht="48" customHeight="1">
      <c r="A167" s="65" t="str">
        <f>'HECVAT - Full | Vendor Response'!A163</f>
        <v>DATA-23</v>
      </c>
      <c r="B167" s="65" t="str">
        <f>'HECVAT - Full | Vendor Response'!B163</f>
        <v>Does your staff (or third party) have access to institutional data (e.g., financial, PHI or other sensitive information) through any means?</v>
      </c>
      <c r="C167" s="125" t="str">
        <f>'HECVAT - Full | Vendor Response'!C163</f>
        <v>No</v>
      </c>
      <c r="D167" s="131" t="str">
        <f>'HECVAT - Full | Vendor Response'!D163</f>
        <v>Weave practices the principle of least privilege and only some essential staff have access to whatever data institutions upload. There is no financial or PHI in the Weave platform.</v>
      </c>
      <c r="E167" s="143" t="s">
        <v>115</v>
      </c>
      <c r="F167" s="199" t="str">
        <f>VLOOKUP($A167,Questions!B$3:T$256,12,FALSE)</f>
        <v>Yes</v>
      </c>
      <c r="G167" s="208"/>
      <c r="H167" s="200">
        <f>VLOOKUP(A167,Questions!B$25:T$295,16,FALSE)</f>
        <v>20</v>
      </c>
      <c r="I167" s="206"/>
    </row>
    <row r="168" spans="1:10" ht="48" customHeight="1">
      <c r="A168" s="65" t="str">
        <f>'HECVAT - Full | Vendor Response'!A164</f>
        <v>DATA-24</v>
      </c>
      <c r="B168" s="65" t="str">
        <f>'HECVAT - Full | Vendor Response'!B164</f>
        <v>Do you have a documented and currently implemented strategy for securing employee workstations when they work remotely (i.e., not in a trusted computing environment)?</v>
      </c>
      <c r="C168" s="125" t="str">
        <f>'HECVAT - Full | Vendor Response'!C164</f>
        <v>Yes</v>
      </c>
      <c r="D168" s="131" t="str">
        <f>'HECVAT - Full | Vendor Response'!D164</f>
        <v>Weave staff lock screens, are required to use biometrics, and always use a secure VPN.</v>
      </c>
      <c r="E168" s="143" t="s">
        <v>115</v>
      </c>
      <c r="F168" s="199" t="str">
        <f>VLOOKUP($A168,Questions!B$3:T$256,12,FALSE)</f>
        <v>Yes</v>
      </c>
      <c r="G168" s="208"/>
      <c r="H168" s="200">
        <f>VLOOKUP(A168,Questions!B$25:T$295,16,FALSE)</f>
        <v>20</v>
      </c>
      <c r="I168" s="206"/>
      <c r="J168" s="240"/>
    </row>
    <row r="169" spans="1:10" ht="48" customHeight="1">
      <c r="A169" s="319" t="str">
        <f>'HECVAT - Full | Vendor Response'!A165</f>
        <v>Datacenter</v>
      </c>
      <c r="B169" s="319"/>
      <c r="C169" s="126" t="s">
        <v>530</v>
      </c>
      <c r="D169" s="132" t="s">
        <v>95</v>
      </c>
      <c r="E169" s="134" t="s">
        <v>97</v>
      </c>
      <c r="F169" s="135" t="s">
        <v>532</v>
      </c>
      <c r="G169" s="126" t="s">
        <v>533</v>
      </c>
      <c r="H169" s="126" t="s">
        <v>534</v>
      </c>
      <c r="I169" s="136" t="s">
        <v>535</v>
      </c>
    </row>
    <row r="170" spans="1:10" ht="48" customHeight="1">
      <c r="A170" s="65" t="str">
        <f>'HECVAT - Full | Vendor Response'!A166</f>
        <v>DCTR-01</v>
      </c>
      <c r="B170" s="65" t="str">
        <f>'HECVAT - Full | Vendor Response'!B166</f>
        <v>Does the hosting provider have a SOC 2 Type 2 report available?</v>
      </c>
      <c r="C170" s="125">
        <f>'HECVAT - Full | Vendor Response'!C166</f>
        <v>0</v>
      </c>
      <c r="D170" s="131">
        <f>'HECVAT - Full | Vendor Response'!D166</f>
        <v>0</v>
      </c>
      <c r="E170" s="143" t="s">
        <v>115</v>
      </c>
      <c r="F170" s="199" t="str">
        <f>VLOOKUP($A170,Questions!B$3:T$256,12,FALSE)</f>
        <v>Yes</v>
      </c>
      <c r="G170" s="208"/>
      <c r="H170" s="200">
        <f>VLOOKUP(A170,Questions!B$25:T$295,16,FALSE)</f>
        <v>20</v>
      </c>
      <c r="I170" s="206"/>
    </row>
    <row r="171" spans="1:10" ht="48" customHeight="1">
      <c r="A171" s="65" t="str">
        <f>'HECVAT - Full | Vendor Response'!A167</f>
        <v>DCTR-02</v>
      </c>
      <c r="B171" s="65" t="str">
        <f>'HECVAT - Full | Vendor Response'!B167</f>
        <v>Are you generally able to accommodate storing each institution's data within their geographic region?</v>
      </c>
      <c r="C171" s="125" t="str">
        <f>'HECVAT - Full | Vendor Response'!C167</f>
        <v>No</v>
      </c>
      <c r="D171" s="131" t="str">
        <f>'HECVAT - Full | Vendor Response'!D167</f>
        <v>Weave utilizes AWS East/Virginia availability zone regardless of where the institution is located.</v>
      </c>
      <c r="E171" s="143" t="s">
        <v>115</v>
      </c>
      <c r="F171" s="199" t="str">
        <f>VLOOKUP($A171,Questions!B$3:T$256,12,FALSE)</f>
        <v>Yes</v>
      </c>
      <c r="G171" s="208"/>
      <c r="H171" s="200">
        <f>VLOOKUP(A171,Questions!B$25:T$295,16,FALSE)</f>
        <v>20</v>
      </c>
      <c r="I171" s="206"/>
    </row>
    <row r="172" spans="1:10" ht="48" customHeight="1">
      <c r="A172" s="65" t="str">
        <f>'HECVAT - Full | Vendor Response'!A168</f>
        <v>DCTR-03</v>
      </c>
      <c r="B172" s="65" t="str">
        <f>'HECVAT - Full | Vendor Response'!B168</f>
        <v>Are the data centers staffed 24 hours a day, seven days a week (i.e., 24 x 7 x 365)?</v>
      </c>
      <c r="C172" s="125">
        <f>'HECVAT - Full | Vendor Response'!C168</f>
        <v>0</v>
      </c>
      <c r="D172" s="131">
        <f>'HECVAT - Full | Vendor Response'!D168</f>
        <v>0</v>
      </c>
      <c r="E172" s="143" t="s">
        <v>115</v>
      </c>
      <c r="F172" s="199" t="str">
        <f>VLOOKUP($A172,Questions!B$3:T$256,12,FALSE)</f>
        <v>Yes</v>
      </c>
      <c r="G172" s="208"/>
      <c r="H172" s="200">
        <f>VLOOKUP(A172,Questions!B$25:T$295,16,FALSE)</f>
        <v>20</v>
      </c>
      <c r="I172" s="206"/>
    </row>
    <row r="173" spans="1:10" ht="48" customHeight="1">
      <c r="A173" s="65" t="str">
        <f>'HECVAT - Full | Vendor Response'!A169</f>
        <v>DCTR-04</v>
      </c>
      <c r="B173" s="65" t="str">
        <f>'HECVAT - Full | Vendor Response'!B169</f>
        <v>Are your servers separated from other companies via a physical barrier, such as a cage or hardened walls?</v>
      </c>
      <c r="C173" s="125">
        <f>'HECVAT - Full | Vendor Response'!C169</f>
        <v>0</v>
      </c>
      <c r="D173" s="131">
        <f>'HECVAT - Full | Vendor Response'!D169</f>
        <v>0</v>
      </c>
      <c r="E173" s="143" t="s">
        <v>115</v>
      </c>
      <c r="F173" s="199" t="str">
        <f>VLOOKUP($A173,Questions!B$3:T$256,12,FALSE)</f>
        <v>Yes</v>
      </c>
      <c r="G173" s="208"/>
      <c r="H173" s="200">
        <f>VLOOKUP(A173,Questions!B$25:T$295,16,FALSE)</f>
        <v>20</v>
      </c>
      <c r="I173" s="206"/>
    </row>
    <row r="174" spans="1:10" ht="48" customHeight="1">
      <c r="A174" s="65" t="str">
        <f>'HECVAT - Full | Vendor Response'!A170</f>
        <v>DCTR-05</v>
      </c>
      <c r="B174" s="65" t="str">
        <f>'HECVAT - Full | Vendor Response'!B170</f>
        <v>Does a physical barrier fully enclose the physical space, preventing unauthorized physical contact with any of your devices?</v>
      </c>
      <c r="C174" s="125">
        <f>'HECVAT - Full | Vendor Response'!C170</f>
        <v>0</v>
      </c>
      <c r="D174" s="131">
        <f>'HECVAT - Full | Vendor Response'!D170</f>
        <v>0</v>
      </c>
      <c r="E174" s="143" t="s">
        <v>115</v>
      </c>
      <c r="F174" s="199" t="str">
        <f>VLOOKUP($A174,Questions!B$3:T$256,12,FALSE)</f>
        <v>Yes</v>
      </c>
      <c r="G174" s="208"/>
      <c r="H174" s="200">
        <f>VLOOKUP(A174,Questions!B$25:T$295,16,FALSE)</f>
        <v>25</v>
      </c>
      <c r="I174" s="206"/>
    </row>
    <row r="175" spans="1:10" ht="48" customHeight="1">
      <c r="A175" s="65" t="str">
        <f>'HECVAT - Full | Vendor Response'!A171</f>
        <v>DCTR-06</v>
      </c>
      <c r="B175" s="65" t="str">
        <f>'HECVAT - Full | Vendor Response'!B171</f>
        <v>Are your primary and secondary data centers geographically diverse?</v>
      </c>
      <c r="C175" s="125" t="str">
        <f>'HECVAT - Full | Vendor Response'!C171</f>
        <v>Yes</v>
      </c>
      <c r="D175" s="131" t="str">
        <f>'HECVAT - Full | Vendor Response'!D171</f>
        <v>Weave uses AWS with a separate availability zone for backups</v>
      </c>
      <c r="E175" s="143" t="s">
        <v>115</v>
      </c>
      <c r="F175" s="199" t="str">
        <f>VLOOKUP($A175,Questions!B$3:T$256,12,FALSE)</f>
        <v>Yes</v>
      </c>
      <c r="G175" s="208"/>
      <c r="H175" s="200">
        <f>VLOOKUP(A175,Questions!B$25:T$295,16,FALSE)</f>
        <v>20</v>
      </c>
      <c r="I175" s="206"/>
    </row>
    <row r="176" spans="1:10" ht="48" customHeight="1">
      <c r="A176" s="65" t="str">
        <f>'HECVAT - Full | Vendor Response'!A172</f>
        <v>DCTR-07</v>
      </c>
      <c r="B176" s="65" t="str">
        <f>'HECVAT - Full | Vendor Response'!B172</f>
        <v>If outsourced or co-located, is there a contract in place to prevent data from leaving the institution's data zone?</v>
      </c>
      <c r="C176" s="125" t="str">
        <f>'HECVAT - Full | Vendor Response'!C172</f>
        <v>No</v>
      </c>
      <c r="D176" s="131" t="str">
        <f>'HECVAT - Full | Vendor Response'!D172</f>
        <v>Weave inherits from AWS</v>
      </c>
      <c r="E176" s="143" t="s">
        <v>115</v>
      </c>
      <c r="F176" s="199" t="str">
        <f>VLOOKUP($A176,Questions!B$3:T$256,12,FALSE)</f>
        <v>Yes</v>
      </c>
      <c r="G176" s="208"/>
      <c r="H176" s="200">
        <f>VLOOKUP(A176,Questions!B$25:T$295,16,FALSE)</f>
        <v>20</v>
      </c>
      <c r="I176" s="207"/>
    </row>
    <row r="177" spans="1:10" ht="48" customHeight="1">
      <c r="A177" s="65" t="str">
        <f>'HECVAT - Full | Vendor Response'!A173</f>
        <v>DCTR-08</v>
      </c>
      <c r="B177" s="65" t="str">
        <f>'HECVAT - Full | Vendor Response'!B173</f>
        <v>What tier level is your data center (per levels defined by the Uptime Institute)?</v>
      </c>
      <c r="C177" s="125">
        <f>'HECVAT - Full | Vendor Response'!C173</f>
        <v>0</v>
      </c>
      <c r="D177" s="131">
        <f>'HECVAT - Full | Vendor Response'!D173</f>
        <v>0</v>
      </c>
      <c r="E177" s="143" t="s">
        <v>115</v>
      </c>
      <c r="F177" s="199" t="str">
        <f>VLOOKUP($A177,Questions!B$3:T$256,12,FALSE)</f>
        <v>Yes</v>
      </c>
      <c r="G177" s="208"/>
      <c r="H177" s="202">
        <f>VLOOKUP(A177,Questions!B$25:T$295,16,FALSE)</f>
        <v>20</v>
      </c>
      <c r="I177" s="207"/>
    </row>
    <row r="178" spans="1:10" ht="48" customHeight="1">
      <c r="A178" s="65" t="str">
        <f>'HECVAT - Full | Vendor Response'!A174</f>
        <v>DCTR-09</v>
      </c>
      <c r="B178" s="65" t="str">
        <f>'HECVAT - Full | Vendor Response'!B174</f>
        <v>Is the service hosted in a high-availability environment?</v>
      </c>
      <c r="C178" s="125" t="str">
        <f>'HECVAT - Full | Vendor Response'!C174</f>
        <v>Yes</v>
      </c>
      <c r="D178" s="131" t="str">
        <f>'HECVAT - Full | Vendor Response'!D174</f>
        <v>Weave uses AWS with multiple availability zones</v>
      </c>
      <c r="E178" s="143" t="s">
        <v>115</v>
      </c>
      <c r="F178" s="201" t="str">
        <f>VLOOKUP($A178,Questions!B$3:T$256,12,FALSE)</f>
        <v>Yes</v>
      </c>
      <c r="G178" s="208"/>
      <c r="H178" s="202">
        <f>VLOOKUP(A178,Questions!B$25:T$295,16,FALSE)</f>
        <v>20</v>
      </c>
      <c r="I178" s="206"/>
    </row>
    <row r="179" spans="1:10" ht="48" customHeight="1">
      <c r="A179" s="124" t="str">
        <f>'HECVAT - Full | Vendor Response'!A175</f>
        <v>DCTR-10</v>
      </c>
      <c r="B179" s="124" t="str">
        <f>'HECVAT - Full | Vendor Response'!B175</f>
        <v xml:space="preserve">Is redundant power available for all data centers where institutional data will reside? </v>
      </c>
      <c r="C179" s="124">
        <f>'HECVAT - Full | Vendor Response'!C175</f>
        <v>0</v>
      </c>
      <c r="D179" s="131">
        <f>'HECVAT - Full | Vendor Response'!D175</f>
        <v>0</v>
      </c>
      <c r="E179" s="143" t="s">
        <v>115</v>
      </c>
      <c r="F179" s="201" t="str">
        <f>VLOOKUP($A179,Questions!B$3:T$256,12,FALSE)</f>
        <v>Yes</v>
      </c>
      <c r="G179" s="208"/>
      <c r="H179" s="202">
        <f>VLOOKUP(A179,Questions!B$25:T$295,16,FALSE)</f>
        <v>20</v>
      </c>
      <c r="I179" s="207"/>
    </row>
    <row r="180" spans="1:10" ht="48" customHeight="1">
      <c r="A180" s="65" t="str">
        <f>'HECVAT - Full | Vendor Response'!A176</f>
        <v>DCTR-11</v>
      </c>
      <c r="B180" s="65" t="str">
        <f>'HECVAT - Full | Vendor Response'!B176</f>
        <v>Are redundant power strategies tested?</v>
      </c>
      <c r="C180" s="125">
        <f>'HECVAT - Full | Vendor Response'!C176</f>
        <v>0</v>
      </c>
      <c r="D180" s="131">
        <f>'HECVAT - Full | Vendor Response'!D176</f>
        <v>0</v>
      </c>
      <c r="E180" s="143" t="s">
        <v>115</v>
      </c>
      <c r="F180" s="201" t="str">
        <f>VLOOKUP($A180,Questions!B$3:T$256,12,FALSE)</f>
        <v>Yes</v>
      </c>
      <c r="G180" s="208"/>
      <c r="H180" s="202">
        <f>VLOOKUP(A180,Questions!B$25:T$295,16,FALSE)</f>
        <v>25</v>
      </c>
      <c r="I180" s="206"/>
    </row>
    <row r="181" spans="1:10" ht="48" customHeight="1">
      <c r="A181" s="65" t="str">
        <f>'HECVAT - Full | Vendor Response'!A177</f>
        <v>DCTR-12</v>
      </c>
      <c r="B181" s="65" t="str">
        <f>'HECVAT - Full | Vendor Response'!B177</f>
        <v>Describe or provide a reference to the availability of cooling and fire-suppression systems in all data centers where institution data will reside.</v>
      </c>
      <c r="C181" s="125">
        <f>'HECVAT - Full | Vendor Response'!C177</f>
        <v>0</v>
      </c>
      <c r="D181" s="131"/>
      <c r="E181" s="143" t="s">
        <v>115</v>
      </c>
      <c r="F181" s="201" t="str">
        <f>VLOOKUP($A181,Questions!B$3:T$256,12,FALSE)</f>
        <v>Yes</v>
      </c>
      <c r="G181" s="208"/>
      <c r="H181" s="202">
        <f>VLOOKUP(A181,Questions!B$25:T$295,16,FALSE)</f>
        <v>20</v>
      </c>
      <c r="I181" s="207"/>
    </row>
    <row r="182" spans="1:10" ht="48" customHeight="1">
      <c r="A182" s="65" t="str">
        <f>'HECVAT - Full | Vendor Response'!A178</f>
        <v>DCTR-13</v>
      </c>
      <c r="B182" s="65" t="str">
        <f>'HECVAT - Full | Vendor Response'!B178</f>
        <v>Do you have Internet Service Provider (ISP) redundancy?</v>
      </c>
      <c r="C182" s="125">
        <f>'HECVAT - Full | Vendor Response'!C178</f>
        <v>0</v>
      </c>
      <c r="D182" s="131">
        <f>'HECVAT - Full | Vendor Response'!D178</f>
        <v>0</v>
      </c>
      <c r="E182" s="143" t="s">
        <v>115</v>
      </c>
      <c r="F182" s="199" t="str">
        <f>VLOOKUP($A182,Questions!B$3:T$256,12,FALSE)</f>
        <v>Yes</v>
      </c>
      <c r="G182" s="208"/>
      <c r="H182" s="200">
        <f>VLOOKUP(A182,Questions!B$25:T$295,16,FALSE)</f>
        <v>20</v>
      </c>
      <c r="I182" s="206"/>
    </row>
    <row r="183" spans="1:10" ht="48" customHeight="1">
      <c r="A183" s="65" t="s">
        <v>359</v>
      </c>
      <c r="B183" s="65" t="str">
        <f>'HECVAT - Full | Vendor Response'!B179</f>
        <v>Does every data center where the institution's data will reside have multiple telephone company or network provider entrances to the facility?</v>
      </c>
      <c r="C183" s="125">
        <f>'HECVAT - Full | Vendor Response'!C179</f>
        <v>0</v>
      </c>
      <c r="D183" s="131">
        <f>'HECVAT - Full | Vendor Response'!D179</f>
        <v>0</v>
      </c>
      <c r="E183" s="143" t="s">
        <v>115</v>
      </c>
      <c r="F183" s="199" t="str">
        <f>VLOOKUP($A183,Questions!B$3:T$256,12,FALSE)</f>
        <v>Yes</v>
      </c>
      <c r="G183" s="208"/>
      <c r="H183" s="200">
        <f>VLOOKUP(A183,Questions!B$25:T$295,16,FALSE)</f>
        <v>20</v>
      </c>
      <c r="I183" s="206"/>
    </row>
    <row r="184" spans="1:10" ht="48" customHeight="1">
      <c r="A184" s="65" t="s">
        <v>360</v>
      </c>
      <c r="B184" s="65" t="str">
        <f>'HECVAT - Full | Vendor Response'!B180</f>
        <v>Are you requiring multi-factor authentication for administrators of your cloud environment?</v>
      </c>
      <c r="C184" s="125" t="str">
        <f>'HECVAT - Full | Vendor Response'!C180</f>
        <v>Yes</v>
      </c>
      <c r="D184" s="131" t="str">
        <f>'HECVAT - Full | Vendor Response'!D180</f>
        <v xml:space="preserve">Weave requires multi-factor authentication for both staff and users. For AWS administrators, Weave requires either an authentication app or a One-Time text-message passcode to an approved phone number. For regular users, Weave uses a One-Time Passcode emailed to the email address on file. </v>
      </c>
      <c r="E184" s="143" t="s">
        <v>115</v>
      </c>
      <c r="F184" s="199" t="str">
        <f>VLOOKUP($A184,Questions!B$3:T$256,12,FALSE)</f>
        <v>Yes</v>
      </c>
      <c r="G184" s="208"/>
      <c r="H184" s="200">
        <f>VLOOKUP(A184,Questions!B$25:T$295,16,FALSE)</f>
        <v>20</v>
      </c>
      <c r="I184" s="206"/>
    </row>
    <row r="185" spans="1:10" ht="48" customHeight="1">
      <c r="A185" s="65" t="s">
        <v>362</v>
      </c>
      <c r="B185" s="65" t="str">
        <f>'HECVAT - Full | Vendor Response'!B181</f>
        <v>Are you using your cloud providers available hardening tools or pre-hardened images?</v>
      </c>
      <c r="C185" s="125" t="str">
        <f>'HECVAT - Full | Vendor Response'!C181</f>
        <v>Yes</v>
      </c>
      <c r="D185" s="131" t="str">
        <f>'HECVAT - Full | Vendor Response'!D181</f>
        <v>Weave inherits from AWS</v>
      </c>
      <c r="E185" s="143" t="s">
        <v>115</v>
      </c>
      <c r="F185" s="199" t="str">
        <f>VLOOKUP($A185,Questions!B$3:T$256,12,FALSE)</f>
        <v>Yes</v>
      </c>
      <c r="G185" s="208"/>
      <c r="H185" s="200">
        <f>VLOOKUP(A185,Questions!B$25:T$295,16,FALSE)</f>
        <v>20</v>
      </c>
      <c r="I185" s="206"/>
    </row>
    <row r="186" spans="1:10" ht="48" customHeight="1">
      <c r="A186" s="65" t="str">
        <f>'HECVAT - Full | Vendor Response'!A182</f>
        <v>DCTR-17</v>
      </c>
      <c r="B186" s="65" t="str">
        <f>'HECVAT - Full | Vendor Response'!B182</f>
        <v>Does your cloud vendor have access to your encryption keys?</v>
      </c>
      <c r="C186" s="125" t="str">
        <f>'HECVAT - Full | Vendor Response'!C182</f>
        <v>No</v>
      </c>
      <c r="D186" s="131" t="str">
        <f>'HECVAT - Full | Vendor Response'!D182</f>
        <v>Weave uses AWS Key Management System</v>
      </c>
      <c r="E186" s="143" t="s">
        <v>115</v>
      </c>
      <c r="F186" s="199" t="str">
        <f>VLOOKUP($A186,Questions!B$3:T$256,12,FALSE)</f>
        <v>No</v>
      </c>
      <c r="G186" s="208"/>
      <c r="H186" s="200">
        <f>VLOOKUP(A186,Questions!B$25:T$295,16,FALSE)</f>
        <v>20</v>
      </c>
      <c r="I186" s="206"/>
      <c r="J186" s="240"/>
    </row>
    <row r="187" spans="1:10" ht="48" customHeight="1">
      <c r="A187" s="319" t="str">
        <f>'HECVAT - Full | Vendor Response'!A183</f>
        <v>DRP - Respond to as many questions below as possible.</v>
      </c>
      <c r="B187" s="319"/>
      <c r="C187" s="126" t="s">
        <v>530</v>
      </c>
      <c r="D187" s="132" t="s">
        <v>95</v>
      </c>
      <c r="E187" s="134" t="s">
        <v>97</v>
      </c>
      <c r="F187" s="135" t="s">
        <v>532</v>
      </c>
      <c r="G187" s="126" t="s">
        <v>533</v>
      </c>
      <c r="H187" s="126" t="s">
        <v>534</v>
      </c>
      <c r="I187" s="136" t="s">
        <v>535</v>
      </c>
    </row>
    <row r="188" spans="1:10" ht="48" customHeight="1">
      <c r="A188" s="124" t="str">
        <f>'HECVAT - Full | Vendor Response'!A184</f>
        <v>DRPL-01</v>
      </c>
      <c r="B188" s="124" t="str">
        <f>'HECVAT - Full | Vendor Response'!B184</f>
        <v>Describe or provide a reference to your Disaster Recovery Plan (DRP).</v>
      </c>
      <c r="C188" s="317" t="str">
        <f>'HECVAT - Full | Vendor Response'!C184</f>
        <v>Weave has both a disaster recovery plan and a Business Continuity Plan and are available upon request.</v>
      </c>
      <c r="D188" s="318"/>
      <c r="E188" s="144" t="s">
        <v>115</v>
      </c>
      <c r="F188" s="201" t="s">
        <v>536</v>
      </c>
      <c r="G188" s="208"/>
      <c r="H188" s="202">
        <f>VLOOKUP(A188,Questions!B$25:T$295,16,FALSE)</f>
        <v>20</v>
      </c>
      <c r="I188" s="206"/>
    </row>
    <row r="189" spans="1:10" ht="48" customHeight="1">
      <c r="A189" s="65" t="str">
        <f>'HECVAT - Full | Vendor Response'!A185</f>
        <v>DRPL-02</v>
      </c>
      <c r="B189" s="65" t="str">
        <f>'HECVAT - Full | Vendor Response'!B185</f>
        <v>Is an owner assigned who is responsible for the maintenance and review of the DRP?</v>
      </c>
      <c r="C189" s="125" t="str">
        <f>'HECVAT - Full | Vendor Response'!C185</f>
        <v>Yes</v>
      </c>
      <c r="D189" s="131" t="str">
        <f>'HECVAT - Full | Vendor Response'!D185</f>
        <v>The security manager is responsible for the maintenance and review of the DRP in collaboration with the System Owner.</v>
      </c>
      <c r="E189" s="143" t="s">
        <v>115</v>
      </c>
      <c r="F189" s="201" t="str">
        <f>VLOOKUP($A189,Questions!B$3:T$256,12,FALSE)</f>
        <v>Yes</v>
      </c>
      <c r="G189" s="208"/>
      <c r="H189" s="202">
        <f>VLOOKUP(A189,Questions!B$25:T$295,16,FALSE)</f>
        <v>15</v>
      </c>
      <c r="I189" s="206"/>
    </row>
    <row r="190" spans="1:10" ht="48" customHeight="1">
      <c r="A190" s="65" t="str">
        <f>'HECVAT - Full | Vendor Response'!A186</f>
        <v>DRPL-03</v>
      </c>
      <c r="B190" s="65" t="str">
        <f>'HECVAT - Full | Vendor Response'!B186</f>
        <v>Can the institution review your DRP and supporting documentation?</v>
      </c>
      <c r="C190" s="125" t="str">
        <f>'HECVAT - Full | Vendor Response'!C186</f>
        <v>Yes</v>
      </c>
      <c r="D190" s="131" t="str">
        <f>'HECVAT - Full | Vendor Response'!D186</f>
        <v>Upon request</v>
      </c>
      <c r="E190" s="143" t="s">
        <v>115</v>
      </c>
      <c r="F190" s="201" t="str">
        <f>VLOOKUP($A190,Questions!B$3:T$256,12,FALSE)</f>
        <v>Yes</v>
      </c>
      <c r="G190" s="208"/>
      <c r="H190" s="202">
        <f>VLOOKUP(A190,Questions!B$25:T$295,16,FALSE)</f>
        <v>25</v>
      </c>
      <c r="I190" s="206"/>
    </row>
    <row r="191" spans="1:10" ht="48" customHeight="1">
      <c r="A191" s="65" t="str">
        <f>'HECVAT - Full | Vendor Response'!A187</f>
        <v>DRPL-04</v>
      </c>
      <c r="B191" s="65" t="str">
        <f>'HECVAT - Full | Vendor Response'!B187</f>
        <v>Are any disaster recovery locations outside the institution's geographic region?</v>
      </c>
      <c r="C191" s="125" t="str">
        <f>'HECVAT - Full | Vendor Response'!C187</f>
        <v>Yes</v>
      </c>
      <c r="D191" s="131" t="str">
        <f>'HECVAT - Full | Vendor Response'!D187</f>
        <v>Weave uses AWS with multiple availability zones</v>
      </c>
      <c r="E191" s="143" t="s">
        <v>115</v>
      </c>
      <c r="F191" s="201" t="str">
        <f>VLOOKUP($A191,Questions!B$3:T$256,12,FALSE)</f>
        <v>No</v>
      </c>
      <c r="G191" s="208"/>
      <c r="H191" s="202">
        <f>VLOOKUP(A191,Questions!B$25:T$295,16,FALSE)</f>
        <v>20</v>
      </c>
      <c r="I191" s="206"/>
    </row>
    <row r="192" spans="1:10" ht="48" customHeight="1">
      <c r="A192" s="65" t="str">
        <f>'HECVAT - Full | Vendor Response'!A188</f>
        <v>DRPL-05</v>
      </c>
      <c r="B192" s="65" t="str">
        <f>'HECVAT - Full | Vendor Response'!B188</f>
        <v>Does your organization have a disaster recovery site or a contracted disaster recovery provider?</v>
      </c>
      <c r="C192" s="125" t="str">
        <f>'HECVAT - Full | Vendor Response'!C188</f>
        <v>Yes</v>
      </c>
      <c r="D192" s="131" t="str">
        <f>'HECVAT - Full | Vendor Response'!D188</f>
        <v>Weave uses AWS with multiple availability zones</v>
      </c>
      <c r="E192" s="143" t="s">
        <v>115</v>
      </c>
      <c r="F192" s="201" t="str">
        <f>VLOOKUP($A192,Questions!B$3:T$256,12,FALSE)</f>
        <v>Yes</v>
      </c>
      <c r="G192" s="208"/>
      <c r="H192" s="202">
        <f>VLOOKUP(A192,Questions!B$25:T$295,16,FALSE)</f>
        <v>20</v>
      </c>
      <c r="I192" s="206"/>
    </row>
    <row r="193" spans="1:10" ht="48" customHeight="1">
      <c r="A193" s="65" t="str">
        <f>'HECVAT - Full | Vendor Response'!A189</f>
        <v>DRPL-06</v>
      </c>
      <c r="B193" s="65" t="str">
        <f>'HECVAT - Full | Vendor Response'!B189</f>
        <v>Does your organization conduct an annual test of relocating to this site for disaster recovery purposes?</v>
      </c>
      <c r="C193" s="125" t="str">
        <f>'HECVAT - Full | Vendor Response'!C189</f>
        <v>Yes</v>
      </c>
      <c r="D193" s="131" t="str">
        <f>'HECVAT - Full | Vendor Response'!D189</f>
        <v>Weave conducts annual tabletop testing for backups in a new availability zone.</v>
      </c>
      <c r="E193" s="143" t="s">
        <v>115</v>
      </c>
      <c r="F193" s="201" t="str">
        <f>VLOOKUP($A193,Questions!B$3:T$256,12,FALSE)</f>
        <v>Yes</v>
      </c>
      <c r="G193" s="208"/>
      <c r="H193" s="202">
        <f>VLOOKUP(A193,Questions!B$25:T$295,16,FALSE)</f>
        <v>20</v>
      </c>
      <c r="I193" s="206"/>
    </row>
    <row r="194" spans="1:10" ht="48" customHeight="1">
      <c r="A194" s="65" t="str">
        <f>'HECVAT - Full | Vendor Response'!A190</f>
        <v>DRPL-07</v>
      </c>
      <c r="B194" s="65" t="str">
        <f>'HECVAT - Full | Vendor Response'!B190</f>
        <v>Is there a defined problem/issue escalation plan in your DRP for impacted clients?</v>
      </c>
      <c r="C194" s="125" t="str">
        <f>'HECVAT - Full | Vendor Response'!C190</f>
        <v>Yes</v>
      </c>
      <c r="D194" s="131" t="str">
        <f>'HECVAT - Full | Vendor Response'!D190</f>
        <v xml:space="preserve">If any Contingency Plan Team member identifies an activity or issue that requires escalation to get prompt action, the Contingency Plan Team member escalates directly to both the Contingency Plan Manager and the Contingency Plan Director. </v>
      </c>
      <c r="E194" s="143" t="s">
        <v>115</v>
      </c>
      <c r="F194" s="201" t="str">
        <f>VLOOKUP($A194,Questions!B$3:T$256,12,FALSE)</f>
        <v>Yes</v>
      </c>
      <c r="G194" s="208"/>
      <c r="H194" s="202">
        <f>VLOOKUP(A194,Questions!B$25:T$295,16,FALSE)</f>
        <v>20</v>
      </c>
      <c r="I194" s="206"/>
    </row>
    <row r="195" spans="1:10" ht="48" customHeight="1">
      <c r="A195" s="65" t="str">
        <f>'HECVAT - Full | Vendor Response'!A191</f>
        <v>DRPL-08</v>
      </c>
      <c r="B195" s="65" t="str">
        <f>'HECVAT - Full | Vendor Response'!B191</f>
        <v>Is there a documented communication plan in your DRP for impacted clients?</v>
      </c>
      <c r="C195" s="125" t="str">
        <f>'HECVAT - Full | Vendor Response'!C191</f>
        <v>Yes</v>
      </c>
      <c r="D195" s="131" t="str">
        <f>'HECVAT - Full | Vendor Response'!D191</f>
        <v xml:space="preserve">Based on potential widespread impact to customers during a Weave Platform outage or disruption, the Contingency Plan Director determines the best approach for communicating status awareness to customers and users.  Weave Education may use a combination of the following notification methods: 
The Helpdesk responds to individual customers based on tickets opened by those customers. 
The Member Success Team proactively communicates with all potentially impacted customers via email or phone. 
The Weave Education marketing website (www.weaveeducation.com) is updated to provide a status update to customers. </v>
      </c>
      <c r="E195" s="143" t="s">
        <v>115</v>
      </c>
      <c r="F195" s="201" t="str">
        <f>VLOOKUP($A195,Questions!B$3:T$256,12,FALSE)</f>
        <v>Yes</v>
      </c>
      <c r="G195" s="208"/>
      <c r="H195" s="202">
        <f>VLOOKUP(A195,Questions!B$25:T$295,16,FALSE)</f>
        <v>20</v>
      </c>
      <c r="I195" s="206"/>
    </row>
    <row r="196" spans="1:10" ht="48" customHeight="1">
      <c r="A196" s="124" t="str">
        <f>'HECVAT - Full | Vendor Response'!A192</f>
        <v>DRPL-09</v>
      </c>
      <c r="B196" s="124" t="str">
        <f>'HECVAT - Full | Vendor Response'!B192</f>
        <v>Describe or provide a reference to how your disaster recovery plan is tested. (i.e., scope of DR tests, end-to-end testing, etc.)</v>
      </c>
      <c r="C196" s="317" t="str">
        <f>'HECVAT - Full | Vendor Response'!C192</f>
        <v>Weave's disaster recovery plan and contingency plans are tested annualy via tabletop exercise.</v>
      </c>
      <c r="D196" s="318"/>
      <c r="E196" s="143" t="s">
        <v>115</v>
      </c>
      <c r="F196" s="201" t="s">
        <v>536</v>
      </c>
      <c r="G196" s="208"/>
      <c r="H196" s="202">
        <f>VLOOKUP(A196,Questions!B$25:T$295,16,FALSE)</f>
        <v>20</v>
      </c>
      <c r="I196" s="206"/>
    </row>
    <row r="197" spans="1:10" ht="48" customHeight="1">
      <c r="A197" s="65" t="str">
        <f>'HECVAT - Full | Vendor Response'!A193</f>
        <v>DRPL-10</v>
      </c>
      <c r="B197" s="65" t="str">
        <f>'HECVAT - Full | Vendor Response'!B193</f>
        <v>Has the Disaster Recovery Plan been tested in the past year?</v>
      </c>
      <c r="C197" s="125" t="str">
        <f>'HECVAT - Full | Vendor Response'!C193</f>
        <v>Yes</v>
      </c>
      <c r="D197" s="131" t="str">
        <f>'HECVAT - Full | Vendor Response'!D193</f>
        <v>Estimated recovery time is 8 hours</v>
      </c>
      <c r="E197" s="143" t="s">
        <v>115</v>
      </c>
      <c r="F197" s="199" t="str">
        <f>VLOOKUP($A197,Questions!B$3:T$256,12,FALSE)</f>
        <v>Yes</v>
      </c>
      <c r="G197" s="208"/>
      <c r="H197" s="200">
        <f>VLOOKUP(A197,Questions!B$25:T$295,16,FALSE)</f>
        <v>25</v>
      </c>
      <c r="I197" s="206"/>
    </row>
    <row r="198" spans="1:10" ht="48" customHeight="1">
      <c r="A198" s="65" t="str">
        <f>'HECVAT - Full | Vendor Response'!A194</f>
        <v>DRPL-11</v>
      </c>
      <c r="B198" s="65" t="str">
        <f>'HECVAT - Full | Vendor Response'!B194</f>
        <v>Are all components of the DRP reviewed at least annually and updated as needed to reflect change?</v>
      </c>
      <c r="C198" s="125" t="str">
        <f>'HECVAT - Full | Vendor Response'!C194</f>
        <v>Yes</v>
      </c>
      <c r="D198" s="131" t="str">
        <f>'HECVAT - Full | Vendor Response'!D194</f>
        <v>The security manager is responsible for the maintenance and review of the DRP in collaboration with the System Owner.</v>
      </c>
      <c r="E198" s="143" t="s">
        <v>115</v>
      </c>
      <c r="F198" s="199" t="str">
        <f>VLOOKUP($A198,Questions!B$3:T$256,12,FALSE)</f>
        <v>Yes</v>
      </c>
      <c r="G198" s="208"/>
      <c r="H198" s="200">
        <f>VLOOKUP(A198,Questions!B$25:T$295,16,FALSE)</f>
        <v>25</v>
      </c>
      <c r="I198" s="206"/>
      <c r="J198" s="240"/>
    </row>
    <row r="199" spans="1:10" ht="48" customHeight="1">
      <c r="A199" s="129" t="str">
        <f>'HECVAT - Full | Vendor Response'!A195</f>
        <v>Firewalls, IDS, IPS, and Networking</v>
      </c>
      <c r="B199" s="129"/>
      <c r="C199" s="126" t="s">
        <v>530</v>
      </c>
      <c r="D199" s="132" t="s">
        <v>95</v>
      </c>
      <c r="E199" s="134" t="s">
        <v>97</v>
      </c>
      <c r="F199" s="135" t="s">
        <v>532</v>
      </c>
      <c r="G199" s="126" t="s">
        <v>533</v>
      </c>
      <c r="H199" s="126" t="s">
        <v>534</v>
      </c>
      <c r="I199" s="136" t="s">
        <v>535</v>
      </c>
    </row>
    <row r="200" spans="1:10" ht="48" customHeight="1">
      <c r="A200" s="65" t="str">
        <f>'HECVAT - Full | Vendor Response'!A196</f>
        <v>FIDP-01</v>
      </c>
      <c r="B200" s="65" t="str">
        <f>'HECVAT - Full | Vendor Response'!B196</f>
        <v>Are you utilizing a stateful packet inspection (SPI) firewall?</v>
      </c>
      <c r="C200" s="125" t="str">
        <f>'HECVAT - Full | Vendor Response'!C196</f>
        <v>Yes</v>
      </c>
      <c r="D200" s="131" t="str">
        <f>'HECVAT - Full | Vendor Response'!D196</f>
        <v>Weave utilizes AWS Web Application Firewall</v>
      </c>
      <c r="E200" s="143" t="s">
        <v>115</v>
      </c>
      <c r="F200" s="199" t="str">
        <f>VLOOKUP($A200,Questions!B$3:T$256,12,FALSE)</f>
        <v>Yes</v>
      </c>
      <c r="G200" s="208"/>
      <c r="H200" s="200">
        <f>VLOOKUP(A200,Questions!B$25:T$295,16,FALSE)</f>
        <v>25</v>
      </c>
      <c r="I200" s="206"/>
    </row>
    <row r="201" spans="1:10" ht="48" customHeight="1">
      <c r="A201" s="65" t="str">
        <f>'HECVAT - Full | Vendor Response'!A197</f>
        <v>FIDP-02</v>
      </c>
      <c r="B201" s="65" t="str">
        <f>'HECVAT - Full | Vendor Response'!B197</f>
        <v>Is authority for firewall change approval documented? Please list approver names or titles in Additional Info</v>
      </c>
      <c r="C201" s="125" t="str">
        <f>'HECVAT - Full | Vendor Response'!C197</f>
        <v>Yes</v>
      </c>
      <c r="D201" s="131" t="str">
        <f>'HECVAT - Full | Vendor Response'!D197</f>
        <v>Security Manager and System Administrator approval are required for any firewall changes.</v>
      </c>
      <c r="E201" s="143" t="s">
        <v>115</v>
      </c>
      <c r="F201" s="199" t="str">
        <f>VLOOKUP($A201,Questions!B$3:T$256,12,FALSE)</f>
        <v>Yes</v>
      </c>
      <c r="G201" s="208"/>
      <c r="H201" s="200">
        <f>VLOOKUP(A201,Questions!B$25:T$295,16,FALSE)</f>
        <v>20</v>
      </c>
      <c r="I201" s="206"/>
    </row>
    <row r="202" spans="1:10" ht="48" customHeight="1">
      <c r="A202" s="65" t="str">
        <f>'HECVAT - Full | Vendor Response'!A198</f>
        <v>FIDP-03</v>
      </c>
      <c r="B202" s="65" t="str">
        <f>'HECVAT - Full | Vendor Response'!B198</f>
        <v>Do you have a documented policy for firewall change requests?</v>
      </c>
      <c r="C202" s="125" t="str">
        <f>'HECVAT - Full | Vendor Response'!C198</f>
        <v>Yes</v>
      </c>
      <c r="D202" s="131" t="str">
        <f>'HECVAT - Full | Vendor Response'!D198</f>
        <v>Weave's configuration management plan includes full approval for any changes including a security review prior to release.</v>
      </c>
      <c r="E202" s="143" t="s">
        <v>115</v>
      </c>
      <c r="F202" s="199" t="str">
        <f>VLOOKUP($A202,Questions!B$3:T$256,12,FALSE)</f>
        <v>Yes</v>
      </c>
      <c r="G202" s="208"/>
      <c r="H202" s="200">
        <f>VLOOKUP(A202,Questions!B$25:T$295,16,FALSE)</f>
        <v>25</v>
      </c>
      <c r="I202" s="206"/>
    </row>
    <row r="203" spans="1:10" ht="48" customHeight="1">
      <c r="A203" s="65" t="str">
        <f>'HECVAT - Full | Vendor Response'!A199</f>
        <v>FIDP-04</v>
      </c>
      <c r="B203" s="65" t="str">
        <f>'HECVAT - Full | Vendor Response'!B199</f>
        <v>Have you implemented an Intrusion Detection System (network-based)?</v>
      </c>
      <c r="C203" s="125" t="str">
        <f>'HECVAT - Full | Vendor Response'!C199</f>
        <v>Yes</v>
      </c>
      <c r="D203" s="131" t="str">
        <f>'HECVAT - Full | Vendor Response'!D199</f>
        <v>Weave uses AWS Guard Duty as an IDS</v>
      </c>
      <c r="E203" s="143" t="s">
        <v>115</v>
      </c>
      <c r="F203" s="199" t="str">
        <f>VLOOKUP($A203,Questions!B$3:T$256,12,FALSE)</f>
        <v>Yes</v>
      </c>
      <c r="G203" s="208"/>
      <c r="H203" s="200">
        <f>VLOOKUP(A203,Questions!B$25:T$295,16,FALSE)</f>
        <v>25</v>
      </c>
      <c r="I203" s="206"/>
    </row>
    <row r="204" spans="1:10" ht="48" customHeight="1">
      <c r="A204" s="65" t="str">
        <f>'HECVAT - Full | Vendor Response'!A200</f>
        <v>FIDP-05</v>
      </c>
      <c r="B204" s="65" t="str">
        <f>'HECVAT - Full | Vendor Response'!B200</f>
        <v>Have you implemented an Intrusion Prevention System (network-based)?</v>
      </c>
      <c r="C204" s="125" t="str">
        <f>'HECVAT - Full | Vendor Response'!C200</f>
        <v>Yes</v>
      </c>
      <c r="D204" s="131" t="str">
        <f>'HECVAT - Full | Vendor Response'!D200</f>
        <v>Weave uses Windows Defender as an IPS</v>
      </c>
      <c r="E204" s="143" t="s">
        <v>115</v>
      </c>
      <c r="F204" s="199" t="str">
        <f>VLOOKUP($A204,Questions!B$3:T$256,12,FALSE)</f>
        <v>Yes</v>
      </c>
      <c r="G204" s="208"/>
      <c r="H204" s="200">
        <f>VLOOKUP(A204,Questions!B$25:T$295,16,FALSE)</f>
        <v>20</v>
      </c>
      <c r="I204" s="206"/>
    </row>
    <row r="205" spans="1:10" ht="48" customHeight="1">
      <c r="A205" s="65" t="str">
        <f>'HECVAT - Full | Vendor Response'!A201</f>
        <v>FIDP-06</v>
      </c>
      <c r="B205" s="65" t="str">
        <f>'HECVAT - Full | Vendor Response'!B201</f>
        <v>Do you employ host-based intrusion detection?</v>
      </c>
      <c r="C205" s="125" t="str">
        <f>'HECVAT - Full | Vendor Response'!C201</f>
        <v>Yes</v>
      </c>
      <c r="D205" s="131" t="str">
        <f>'HECVAT - Full | Vendor Response'!D201</f>
        <v>Weave uses AWS Guard Duty as an IDS</v>
      </c>
      <c r="E205" s="143" t="s">
        <v>115</v>
      </c>
      <c r="F205" s="199" t="str">
        <f>VLOOKUP($A205,Questions!B$3:T$256,12,FALSE)</f>
        <v>Yes</v>
      </c>
      <c r="G205" s="208"/>
      <c r="H205" s="200">
        <f>VLOOKUP(A205,Questions!B$25:T$295,16,FALSE)</f>
        <v>25</v>
      </c>
      <c r="I205" s="206"/>
    </row>
    <row r="206" spans="1:10" ht="48" customHeight="1">
      <c r="A206" s="65" t="str">
        <f>'HECVAT - Full | Vendor Response'!A202</f>
        <v>FIDP-07</v>
      </c>
      <c r="B206" s="65" t="str">
        <f>'HECVAT - Full | Vendor Response'!B202</f>
        <v>Do you employ host-based intrusion prevention?</v>
      </c>
      <c r="C206" s="125" t="str">
        <f>'HECVAT - Full | Vendor Response'!C202</f>
        <v>Yes</v>
      </c>
      <c r="D206" s="131" t="str">
        <f>'HECVAT - Full | Vendor Response'!D202</f>
        <v>Weave uses Windows Defender as an IPS</v>
      </c>
      <c r="E206" s="143" t="s">
        <v>115</v>
      </c>
      <c r="F206" s="199" t="str">
        <f>VLOOKUP($A206,Questions!B$3:T$256,12,FALSE)</f>
        <v>Yes</v>
      </c>
      <c r="G206" s="208"/>
      <c r="H206" s="200">
        <f>VLOOKUP(A206,Questions!B$25:T$295,16,FALSE)</f>
        <v>20</v>
      </c>
      <c r="I206" s="206"/>
    </row>
    <row r="207" spans="1:10" ht="48" customHeight="1">
      <c r="A207" s="65" t="str">
        <f>'HECVAT - Full | Vendor Response'!A203</f>
        <v>FIDP-08</v>
      </c>
      <c r="B207" s="65" t="str">
        <f>'HECVAT - Full | Vendor Response'!B203</f>
        <v>Are you employing any next-generation persistent threat (NGPT) monitoring?</v>
      </c>
      <c r="C207" s="125" t="str">
        <f>'HECVAT - Full | Vendor Response'!C203</f>
        <v>Yes</v>
      </c>
      <c r="D207" s="131" t="str">
        <f>'HECVAT - Full | Vendor Response'!D203</f>
        <v>Weave conducts continual monitoring and NGPT vulnerability scanning with AWS Inspector.</v>
      </c>
      <c r="E207" s="143" t="s">
        <v>115</v>
      </c>
      <c r="F207" s="199" t="str">
        <f>VLOOKUP($A207,Questions!B$3:T$256,12,FALSE)</f>
        <v>Yes</v>
      </c>
      <c r="G207" s="208"/>
      <c r="H207" s="200">
        <f>VLOOKUP(A207,Questions!B$25:T$295,16,FALSE)</f>
        <v>20</v>
      </c>
      <c r="I207" s="206"/>
    </row>
    <row r="208" spans="1:10" ht="48" customHeight="1">
      <c r="A208" s="65" t="str">
        <f>'HECVAT - Full | Vendor Response'!A204</f>
        <v>FIDP-09</v>
      </c>
      <c r="B208" s="65" t="str">
        <f>'HECVAT - Full | Vendor Response'!B204</f>
        <v>Do you monitor for intrusions on a 24 x 7 x 365 basis?</v>
      </c>
      <c r="C208" s="125" t="str">
        <f>'HECVAT - Full | Vendor Response'!C204</f>
        <v>Yes</v>
      </c>
      <c r="D208" s="131" t="str">
        <f>'HECVAT - Full | Vendor Response'!D204</f>
        <v xml:space="preserve">Weave uses continual scanning systems from AWS with immediate email alerts for anomalous behavior and supplements that with manual monitoring on a weekly basis. </v>
      </c>
      <c r="E208" s="143" t="s">
        <v>115</v>
      </c>
      <c r="F208" s="199" t="str">
        <f>VLOOKUP($A208,Questions!B$3:T$256,12,FALSE)</f>
        <v>Yes</v>
      </c>
      <c r="G208" s="208"/>
      <c r="H208" s="200">
        <f>VLOOKUP(A208,Questions!B$25:T$295,16,FALSE)</f>
        <v>15</v>
      </c>
      <c r="I208" s="206"/>
    </row>
    <row r="209" spans="1:10" ht="48" customHeight="1">
      <c r="A209" s="65" t="str">
        <f>'HECVAT - Full | Vendor Response'!A205</f>
        <v>FIDP-10</v>
      </c>
      <c r="B209" s="65" t="str">
        <f>'HECVAT - Full | Vendor Response'!B205</f>
        <v>Is intrusion monitoring performed internally or by a third-party service?</v>
      </c>
      <c r="C209" s="125" t="str">
        <f>'HECVAT - Full | Vendor Response'!C205</f>
        <v>Yes</v>
      </c>
      <c r="D209" s="131" t="str">
        <f>'HECVAT - Full | Vendor Response'!D205</f>
        <v>Intrusion monitoring is performed both by AWS services and internally by the Weave security manager.</v>
      </c>
      <c r="E209" s="143" t="s">
        <v>115</v>
      </c>
      <c r="F209" s="199" t="str">
        <f>VLOOKUP($A209,Questions!B$3:T$256,12,FALSE)</f>
        <v>Yes</v>
      </c>
      <c r="G209" s="208"/>
      <c r="H209" s="200">
        <f>VLOOKUP(A209,Questions!B$25:T$295,16,FALSE)</f>
        <v>20</v>
      </c>
      <c r="I209" s="206"/>
    </row>
    <row r="210" spans="1:10" ht="48" customHeight="1">
      <c r="A210" s="65" t="str">
        <f>'HECVAT - Full | Vendor Response'!A206</f>
        <v>FIDP-11</v>
      </c>
      <c r="B210" s="65" t="str">
        <f>'HECVAT - Full | Vendor Response'!B206</f>
        <v>Are audit logs available for all changes to the network, firewall, IDS, and IPS systems?</v>
      </c>
      <c r="C210" s="125" t="str">
        <f>'HECVAT - Full | Vendor Response'!C206</f>
        <v>Yes</v>
      </c>
      <c r="D210" s="131" t="str">
        <f>'HECVAT - Full | Vendor Response'!D206</f>
        <v>Weave saves all audit logs in AWS cloudwatch</v>
      </c>
      <c r="E210" s="143" t="s">
        <v>115</v>
      </c>
      <c r="F210" s="199" t="str">
        <f>VLOOKUP($A210,Questions!B$3:T$256,12,FALSE)</f>
        <v>Yes</v>
      </c>
      <c r="G210" s="208"/>
      <c r="H210" s="200">
        <f>VLOOKUP(A210,Questions!B$25:T$295,16,FALSE)</f>
        <v>25</v>
      </c>
      <c r="I210" s="206"/>
      <c r="J210" s="240"/>
    </row>
    <row r="211" spans="1:10" ht="48" customHeight="1">
      <c r="A211" s="319" t="str">
        <f>'HECVAT - Full | Vendor Response'!A207</f>
        <v>Policies, Procedures, and Processes</v>
      </c>
      <c r="B211" s="319"/>
      <c r="C211" s="126" t="s">
        <v>530</v>
      </c>
      <c r="D211" s="132" t="s">
        <v>95</v>
      </c>
      <c r="E211" s="134" t="s">
        <v>97</v>
      </c>
      <c r="F211" s="135" t="s">
        <v>532</v>
      </c>
      <c r="G211" s="126" t="s">
        <v>533</v>
      </c>
      <c r="H211" s="126" t="s">
        <v>534</v>
      </c>
      <c r="I211" s="136" t="s">
        <v>535</v>
      </c>
    </row>
    <row r="212" spans="1:10" ht="48" customHeight="1">
      <c r="A212" s="65" t="str">
        <f>'HECVAT - Full | Vendor Response'!A208</f>
        <v>PPPR-01</v>
      </c>
      <c r="B212" s="65" t="str">
        <f>'HECVAT - Full | Vendor Response'!B208</f>
        <v>Can you share the organization chart, mission statement, and policies for your information security unit?</v>
      </c>
      <c r="C212" s="125" t="str">
        <f>'HECVAT - Full | Vendor Response'!C208</f>
        <v>Yes</v>
      </c>
      <c r="D212" s="131" t="str">
        <f>'HECVAT - Full | Vendor Response'!D208</f>
        <v>The Security team is led by the Director of Security &amp; Compliance and includes a cross-functional team from the CEO and HR/Business Analyst to System Adminstrators.</v>
      </c>
      <c r="E212" s="143" t="s">
        <v>115</v>
      </c>
      <c r="F212" s="199" t="str">
        <f>VLOOKUP($A212,Questions!B$3:T$256,12,FALSE)</f>
        <v>Yes</v>
      </c>
      <c r="G212" s="208"/>
      <c r="H212" s="200">
        <f>VLOOKUP(A212,Questions!B$25:T$295,16,FALSE)</f>
        <v>20</v>
      </c>
      <c r="I212" s="206"/>
    </row>
    <row r="213" spans="1:10" ht="48" customHeight="1">
      <c r="A213" s="65" t="str">
        <f>'HECVAT - Full | Vendor Response'!A209</f>
        <v>PPPR-02</v>
      </c>
      <c r="B213" s="65" t="str">
        <f>'HECVAT - Full | Vendor Response'!B209</f>
        <v>Do you have a documented patch management process?</v>
      </c>
      <c r="C213" s="125" t="str">
        <f>'HECVAT - Full | Vendor Response'!C209</f>
        <v>Yes</v>
      </c>
      <c r="D213" s="131" t="str">
        <f>'HECVAT - Full | Vendor Response'!D209</f>
        <v>As part of its continuous monitoring plan, Weave deploys patches monthly and it's verifies by the Security manager.</v>
      </c>
      <c r="E213" s="143" t="s">
        <v>115</v>
      </c>
      <c r="F213" s="199" t="str">
        <f>VLOOKUP($A213,Questions!B$3:T$256,12,FALSE)</f>
        <v>Yes</v>
      </c>
      <c r="G213" s="208"/>
      <c r="H213" s="200">
        <f>VLOOKUP(A213,Questions!B$25:T$295,16,FALSE)</f>
        <v>25</v>
      </c>
      <c r="I213" s="206"/>
    </row>
    <row r="214" spans="1:10" ht="48" customHeight="1">
      <c r="A214" s="65" t="str">
        <f>'HECVAT - Full | Vendor Response'!A210</f>
        <v>PPPR-03</v>
      </c>
      <c r="B214" s="65" t="str">
        <f>'HECVAT - Full | Vendor Response'!B210</f>
        <v>Can you accommodate encryption requirements using open standards?</v>
      </c>
      <c r="C214" s="125" t="str">
        <f>'HECVAT - Full | Vendor Response'!C210</f>
        <v>Yes</v>
      </c>
      <c r="D214" s="131">
        <f>'HECVAT - Full | Vendor Response'!D210</f>
        <v>0</v>
      </c>
      <c r="E214" s="143" t="s">
        <v>115</v>
      </c>
      <c r="F214" s="199" t="str">
        <f>VLOOKUP($A214,Questions!B$3:T$256,12,FALSE)</f>
        <v>Yes</v>
      </c>
      <c r="G214" s="208"/>
      <c r="H214" s="200">
        <f>VLOOKUP(A214,Questions!B$25:T$295,16,FALSE)</f>
        <v>20</v>
      </c>
      <c r="I214" s="206"/>
    </row>
    <row r="215" spans="1:10" ht="48" customHeight="1">
      <c r="A215" s="65" t="str">
        <f>'HECVAT - Full | Vendor Response'!A211</f>
        <v>PPPR-04</v>
      </c>
      <c r="B215" s="65" t="str">
        <f>'HECVAT - Full | Vendor Response'!B211</f>
        <v>Are information security principles designed into the product lifecycle?</v>
      </c>
      <c r="C215" s="125" t="str">
        <f>'HECVAT - Full | Vendor Response'!C211</f>
        <v>Yes</v>
      </c>
      <c r="D215" s="131" t="str">
        <f>'HECVAT - Full | Vendor Response'!D211</f>
        <v>DevSecOps includes security as a regular process of the agile development workflow. The Security Manager is involved in every sprint kick off and conducts a security review on each ticket before anything is pushed to production.</v>
      </c>
      <c r="E215" s="143" t="s">
        <v>115</v>
      </c>
      <c r="F215" s="199" t="str">
        <f>VLOOKUP($A215,Questions!B$3:T$256,12,FALSE)</f>
        <v>Yes</v>
      </c>
      <c r="G215" s="208"/>
      <c r="H215" s="200">
        <f>VLOOKUP(A215,Questions!B$25:T$295,16,FALSE)</f>
        <v>15</v>
      </c>
      <c r="I215" s="206"/>
    </row>
    <row r="216" spans="1:10" ht="48" customHeight="1">
      <c r="A216" s="65" t="str">
        <f>'HECVAT - Full | Vendor Response'!A212</f>
        <v>PPPR-05</v>
      </c>
      <c r="B216" s="65" t="str">
        <f>'HECVAT - Full | Vendor Response'!B212</f>
        <v>Do you have a documented systems development life cycle (SDLC)?</v>
      </c>
      <c r="C216" s="125" t="str">
        <f>'HECVAT - Full | Vendor Response'!C212</f>
        <v>Yes</v>
      </c>
      <c r="D216" s="131" t="str">
        <f>'HECVAT - Full | Vendor Response'!D212</f>
        <v>DevSecOps includes security as a regular process of the agile development workflow. The Security Manager is involved in every sprint kick off and conducts a security review on each ticket before anything is pushed to production.</v>
      </c>
      <c r="E216" s="143" t="s">
        <v>115</v>
      </c>
      <c r="F216" s="199" t="str">
        <f>VLOOKUP($A216,Questions!B$3:T$256,12,FALSE)</f>
        <v>Yes</v>
      </c>
      <c r="G216" s="208"/>
      <c r="H216" s="200">
        <f>VLOOKUP(A216,Questions!B$25:T$295,16,FALSE)</f>
        <v>20</v>
      </c>
      <c r="I216" s="206"/>
    </row>
    <row r="217" spans="1:10" ht="48" customHeight="1">
      <c r="A217" s="65" t="str">
        <f>'HECVAT - Full | Vendor Response'!A213</f>
        <v>PPPR-06</v>
      </c>
      <c r="B217" s="65" t="str">
        <f>'HECVAT - Full | Vendor Response'!B213</f>
        <v>Will you comply with applicable breach notification laws?</v>
      </c>
      <c r="C217" s="125" t="str">
        <f>'HECVAT - Full | Vendor Response'!C213</f>
        <v>Yes</v>
      </c>
      <c r="D217" s="131" t="str">
        <f>'HECVAT - Full | Vendor Response'!D213</f>
        <v>Institutions will be notified within 24 hours or in compliance with their state laws.</v>
      </c>
      <c r="E217" s="143" t="s">
        <v>115</v>
      </c>
      <c r="F217" s="199" t="str">
        <f>VLOOKUP($A217,Questions!B$3:T$256,12,FALSE)</f>
        <v>Yes</v>
      </c>
      <c r="G217" s="208"/>
      <c r="H217" s="200">
        <f>VLOOKUP(A217,Questions!B$25:T$295,16,FALSE)</f>
        <v>15</v>
      </c>
      <c r="I217" s="206"/>
    </row>
    <row r="218" spans="1:10" ht="48" customHeight="1">
      <c r="A218" s="65" t="str">
        <f>'HECVAT - Full | Vendor Response'!A214</f>
        <v>PPPR-07</v>
      </c>
      <c r="B218" s="65" t="str">
        <f>'HECVAT - Full | Vendor Response'!B214</f>
        <v>Will you comply with the institution's IT policies with regards to user privacy and data protection?</v>
      </c>
      <c r="C218" s="125" t="str">
        <f>'HECVAT - Full | Vendor Response'!C214</f>
        <v>Yes</v>
      </c>
      <c r="D218" s="131" t="str">
        <f>'HECVAT - Full | Vendor Response'!D214</f>
        <v>Upon onboarding, Weave's support team works with the institution's IT team to ensure that all policies are complied with.</v>
      </c>
      <c r="E218" s="143" t="s">
        <v>115</v>
      </c>
      <c r="F218" s="199" t="str">
        <f>VLOOKUP($A218,Questions!B$3:T$256,12,FALSE)</f>
        <v>Yes</v>
      </c>
      <c r="G218" s="208"/>
      <c r="H218" s="200">
        <f>VLOOKUP(A218,Questions!B$25:T$295,16,FALSE)</f>
        <v>25</v>
      </c>
      <c r="I218" s="206"/>
    </row>
    <row r="219" spans="1:10" ht="48" customHeight="1">
      <c r="A219" s="65" t="str">
        <f>'HECVAT - Full | Vendor Response'!A215</f>
        <v>PPPR-08</v>
      </c>
      <c r="B219" s="65" t="str">
        <f>'HECVAT - Full | Vendor Response'!B215</f>
        <v>Is your company subject to institution's geographic region's laws and regulations?</v>
      </c>
      <c r="C219" s="125" t="str">
        <f>'HECVAT - Full | Vendor Response'!C215</f>
        <v>Yes</v>
      </c>
      <c r="D219" s="131" t="str">
        <f>'HECVAT - Full | Vendor Response'!D215</f>
        <v>Weave complies with instuttional laws and regulations</v>
      </c>
      <c r="E219" s="143" t="s">
        <v>115</v>
      </c>
      <c r="F219" s="199" t="str">
        <f>VLOOKUP($A219,Questions!B$3:T$256,12,FALSE)</f>
        <v>Yes</v>
      </c>
      <c r="G219" s="208"/>
      <c r="H219" s="200">
        <f>VLOOKUP(A219,Questions!B$25:T$295,16,FALSE)</f>
        <v>25</v>
      </c>
      <c r="I219" s="206"/>
    </row>
    <row r="220" spans="1:10" ht="48" customHeight="1">
      <c r="A220" s="65" t="str">
        <f>'HECVAT - Full | Vendor Response'!A216</f>
        <v>PPPR-09</v>
      </c>
      <c r="B220" s="65" t="str">
        <f>'HECVAT - Full | Vendor Response'!B216</f>
        <v>Do you perform background screenings or multi-state background checks on all employees prior to their first day of work?</v>
      </c>
      <c r="C220" s="125" t="str">
        <f>'HECVAT - Full | Vendor Response'!C216</f>
        <v>Yes</v>
      </c>
      <c r="D220" s="131" t="str">
        <f>'HECVAT - Full | Vendor Response'!D216</f>
        <v>Weave's personnel management procedure includes background checks prior to first day of work.</v>
      </c>
      <c r="E220" s="143" t="s">
        <v>115</v>
      </c>
      <c r="F220" s="199" t="str">
        <f>VLOOKUP($A220,Questions!B$3:T$256,12,FALSE)</f>
        <v>Yes</v>
      </c>
      <c r="G220" s="208"/>
      <c r="H220" s="200">
        <f>VLOOKUP(A220,Questions!B$25:T$295,16,FALSE)</f>
        <v>20</v>
      </c>
      <c r="I220" s="206"/>
    </row>
    <row r="221" spans="1:10" ht="48" customHeight="1">
      <c r="A221" s="65" t="str">
        <f>'HECVAT - Full | Vendor Response'!A217</f>
        <v>PPPR-10</v>
      </c>
      <c r="B221" s="65" t="str">
        <f>'HECVAT - Full | Vendor Response'!B217</f>
        <v>Do you require new employees to fill out agreements and review policies?</v>
      </c>
      <c r="C221" s="125" t="str">
        <f>'HECVAT - Full | Vendor Response'!C217</f>
        <v>Yes</v>
      </c>
      <c r="D221" s="131" t="str">
        <f>'HECVAT - Full | Vendor Response'!D217</f>
        <v>Weave new employees undergo training including policies and sign agreements.</v>
      </c>
      <c r="E221" s="143" t="s">
        <v>115</v>
      </c>
      <c r="F221" s="199" t="str">
        <f>VLOOKUP($A221,Questions!B$3:T$256,12,FALSE)</f>
        <v>Yes</v>
      </c>
      <c r="G221" s="208"/>
      <c r="H221" s="200">
        <f>VLOOKUP(A221,Questions!B$25:T$295,16,FALSE)</f>
        <v>20</v>
      </c>
      <c r="I221" s="206"/>
    </row>
    <row r="222" spans="1:10" ht="48" customHeight="1">
      <c r="A222" s="65" t="str">
        <f>'HECVAT - Full | Vendor Response'!A218</f>
        <v>PPPR-11</v>
      </c>
      <c r="B222" s="65" t="str">
        <f>'HECVAT - Full | Vendor Response'!B218</f>
        <v>Do you have a documented information security policy?</v>
      </c>
      <c r="C222" s="125" t="str">
        <f>'HECVAT - Full | Vendor Response'!C218</f>
        <v>Yes</v>
      </c>
      <c r="D222" s="131" t="str">
        <f>'HECVAT - Full | Vendor Response'!D218</f>
        <v>Weave has an nformation security policy</v>
      </c>
      <c r="E222" s="143" t="s">
        <v>115</v>
      </c>
      <c r="F222" s="199" t="str">
        <f>VLOOKUP($A222,Questions!B$3:T$256,12,FALSE)</f>
        <v>Yes</v>
      </c>
      <c r="G222" s="208"/>
      <c r="H222" s="200">
        <f>VLOOKUP(A222,Questions!B$25:T$295,16,FALSE)</f>
        <v>20</v>
      </c>
      <c r="I222" s="206"/>
    </row>
    <row r="223" spans="1:10" ht="48" customHeight="1">
      <c r="A223" s="65" t="str">
        <f>'HECVAT - Full | Vendor Response'!A219</f>
        <v>PPPR-12</v>
      </c>
      <c r="B223" s="65" t="str">
        <f>'HECVAT - Full | Vendor Response'!B219</f>
        <v>Do you have an information security awareness program?</v>
      </c>
      <c r="C223" s="125" t="str">
        <f>'HECVAT - Full | Vendor Response'!C219</f>
        <v>Yes</v>
      </c>
      <c r="D223" s="131" t="str">
        <f>'HECVAT - Full | Vendor Response'!D219</f>
        <v>Weave staff undergo annual security awareness training and the security manager consistently sends out security awareness notices and reminders.</v>
      </c>
      <c r="E223" s="143" t="s">
        <v>115</v>
      </c>
      <c r="F223" s="199" t="str">
        <f>VLOOKUP($A223,Questions!B$3:T$256,12,FALSE)</f>
        <v>Yes</v>
      </c>
      <c r="G223" s="208"/>
      <c r="H223" s="200">
        <f>VLOOKUP(A223,Questions!B$25:T$295,16,FALSE)</f>
        <v>15</v>
      </c>
      <c r="I223" s="206"/>
    </row>
    <row r="224" spans="1:10" ht="48" customHeight="1">
      <c r="A224" s="65" t="str">
        <f>'HECVAT - Full | Vendor Response'!A220</f>
        <v>PPPR-13</v>
      </c>
      <c r="B224" s="65" t="str">
        <f>'HECVAT - Full | Vendor Response'!B220</f>
        <v>Is security awareness training mandatory for all employees?</v>
      </c>
      <c r="C224" s="125" t="str">
        <f>'HECVAT - Full | Vendor Response'!C220</f>
        <v>Yes</v>
      </c>
      <c r="D224" s="131" t="str">
        <f>'HECVAT - Full | Vendor Response'!D220</f>
        <v>Weave staff undergo annual security awareness training</v>
      </c>
      <c r="E224" s="143" t="s">
        <v>115</v>
      </c>
      <c r="F224" s="199" t="str">
        <f>VLOOKUP($A224,Questions!B$3:T$256,12,FALSE)</f>
        <v>Yes</v>
      </c>
      <c r="G224" s="208"/>
      <c r="H224" s="200">
        <f>VLOOKUP(A224,Questions!B$25:T$295,16,FALSE)</f>
        <v>15</v>
      </c>
      <c r="I224" s="206"/>
    </row>
    <row r="225" spans="1:10" ht="48" customHeight="1">
      <c r="A225" s="65" t="str">
        <f>'HECVAT - Full | Vendor Response'!A221</f>
        <v>PPPR-14</v>
      </c>
      <c r="B225" s="65" t="str">
        <f>'HECVAT - Full | Vendor Response'!B221</f>
        <v>Do you have process and procedure(s) documented, and currently followed, that require a review and update of the access list(s) for privileged accounts?</v>
      </c>
      <c r="C225" s="125" t="str">
        <f>'HECVAT - Full | Vendor Response'!C221</f>
        <v>Yes</v>
      </c>
      <c r="D225" s="131" t="str">
        <f>'HECVAT - Full | Vendor Response'!D221</f>
        <v>Weave mantains an access control list detailing staff access and level of privilege.</v>
      </c>
      <c r="E225" s="143" t="s">
        <v>115</v>
      </c>
      <c r="F225" s="199" t="str">
        <f>VLOOKUP($A225,Questions!B$3:T$256,12,FALSE)</f>
        <v>Yes</v>
      </c>
      <c r="G225" s="208"/>
      <c r="H225" s="200">
        <f>VLOOKUP(A225,Questions!B$25:T$295,16,FALSE)</f>
        <v>15</v>
      </c>
      <c r="I225" s="206"/>
    </row>
    <row r="226" spans="1:10" ht="48" customHeight="1">
      <c r="A226" s="65" t="str">
        <f>'HECVAT - Full | Vendor Response'!A222</f>
        <v>PPPR-15</v>
      </c>
      <c r="B226" s="65" t="str">
        <f>'HECVAT - Full | Vendor Response'!B222</f>
        <v>Do you have documented, and currently implemented, internal audit processes and procedures?</v>
      </c>
      <c r="C226" s="125" t="str">
        <f>'HECVAT - Full | Vendor Response'!C222</f>
        <v>Yes</v>
      </c>
      <c r="D226" s="131" t="str">
        <f>'HECVAT - Full | Vendor Response'!D222</f>
        <v xml:space="preserve">Weave has an audit policy and procedure </v>
      </c>
      <c r="E226" s="143" t="s">
        <v>115</v>
      </c>
      <c r="F226" s="199" t="str">
        <f>VLOOKUP($A226,Questions!B$3:T$256,12,FALSE)</f>
        <v>Yes</v>
      </c>
      <c r="G226" s="208"/>
      <c r="H226" s="200">
        <f>VLOOKUP(A226,Questions!B$25:T$295,16,FALSE)</f>
        <v>15</v>
      </c>
      <c r="I226" s="206"/>
    </row>
    <row r="227" spans="1:10" ht="48" customHeight="1">
      <c r="A227" s="65" t="str">
        <f>'HECVAT - Full | Vendor Response'!A223</f>
        <v>PPPR-16</v>
      </c>
      <c r="B227" s="65" t="str">
        <f>'HECVAT - Full | Vendor Response'!B223</f>
        <v>Does your organization have physical security controls and policies in place?</v>
      </c>
      <c r="C227" s="125" t="str">
        <f>'HECVAT - Full | Vendor Response'!C223</f>
        <v>Yes</v>
      </c>
      <c r="D227" s="131" t="str">
        <f>'HECVAT - Full | Vendor Response'!D223</f>
        <v>Weave inherits from AWS</v>
      </c>
      <c r="E227" s="143" t="s">
        <v>115</v>
      </c>
      <c r="F227" s="199" t="str">
        <f>VLOOKUP($A227,Questions!B$3:T$256,12,FALSE)</f>
        <v>Yes</v>
      </c>
      <c r="G227" s="208"/>
      <c r="H227" s="200">
        <f>VLOOKUP(A227,Questions!B$25:T$295,16,FALSE)</f>
        <v>15</v>
      </c>
      <c r="I227" s="206"/>
      <c r="J227" s="240"/>
    </row>
    <row r="228" spans="1:10" ht="48" customHeight="1">
      <c r="A228" s="129" t="str">
        <f>'HECVAT - Full | Vendor Response'!A224</f>
        <v>Incident Handling</v>
      </c>
      <c r="B228" s="129"/>
      <c r="C228" s="126" t="s">
        <v>530</v>
      </c>
      <c r="D228" s="132" t="s">
        <v>95</v>
      </c>
      <c r="E228" s="134" t="s">
        <v>97</v>
      </c>
      <c r="F228" s="135" t="s">
        <v>532</v>
      </c>
      <c r="G228" s="126" t="s">
        <v>533</v>
      </c>
      <c r="H228" s="126" t="s">
        <v>534</v>
      </c>
      <c r="I228" s="136" t="s">
        <v>535</v>
      </c>
    </row>
    <row r="229" spans="1:10" ht="48" customHeight="1">
      <c r="A229" s="65" t="str">
        <f>'HECVAT - Full | Vendor Response'!A225</f>
        <v>HFIH-01</v>
      </c>
      <c r="B229" s="65" t="str">
        <f>'HECVAT - Full | Vendor Response'!B225</f>
        <v>Do you have a formal incident response plan?</v>
      </c>
      <c r="C229" s="125" t="str">
        <f>'HECVAT - Full | Vendor Response'!C225</f>
        <v>Yes</v>
      </c>
      <c r="D229" s="131" t="str">
        <f>'HECVAT - Full | Vendor Response'!D225</f>
        <v>Weave has a formal incident response plan. This plan designates an Incident Response Team who coordinates all actions regarding any incident. This plan is tested via a tabletop exercise annually.</v>
      </c>
      <c r="E229" s="143" t="s">
        <v>115</v>
      </c>
      <c r="F229" s="199" t="str">
        <f>VLOOKUP($A229,Questions!B$3:T$256,12,FALSE)</f>
        <v>Yes</v>
      </c>
      <c r="G229" s="208"/>
      <c r="H229" s="200">
        <f>VLOOKUP(A229,Questions!B$25:T$295,16,FALSE)</f>
        <v>15</v>
      </c>
      <c r="I229" s="206"/>
    </row>
    <row r="230" spans="1:10" ht="48" customHeight="1">
      <c r="A230" s="65" t="str">
        <f>'HECVAT - Full | Vendor Response'!A226</f>
        <v>HFIH-02</v>
      </c>
      <c r="B230" s="65" t="str">
        <f>'HECVAT - Full | Vendor Response'!B226</f>
        <v>Do you either have an internal incident response team or retain an external team?</v>
      </c>
      <c r="C230" s="125" t="str">
        <f>'HECVAT - Full | Vendor Response'!C226</f>
        <v>Yes</v>
      </c>
      <c r="D230" s="131" t="str">
        <f>'HECVAT - Full | Vendor Response'!D226</f>
        <v>Weave has a formal incident response plan. This plan designates an Incident Response Team who coordinates all actions regarding any incident. This plan is tested via a tabletop exercise annually.</v>
      </c>
      <c r="E230" s="143" t="s">
        <v>115</v>
      </c>
      <c r="F230" s="199" t="str">
        <f>VLOOKUP($A230,Questions!B$3:T$256,12,FALSE)</f>
        <v>Yes</v>
      </c>
      <c r="G230" s="208"/>
      <c r="H230" s="200">
        <f>VLOOKUP(A230,Questions!B$25:T$295,16,FALSE)</f>
        <v>15</v>
      </c>
      <c r="I230" s="206"/>
    </row>
    <row r="231" spans="1:10" ht="48" customHeight="1">
      <c r="A231" s="65" t="str">
        <f>'HECVAT - Full | Vendor Response'!A227</f>
        <v>HFIH-03</v>
      </c>
      <c r="B231" s="65" t="str">
        <f>'HECVAT - Full | Vendor Response'!B227</f>
        <v>Do you have the capability to respond to incidents on a 24 x 7 x 365 basis?</v>
      </c>
      <c r="C231" s="125" t="str">
        <f>'HECVAT - Full | Vendor Response'!C227</f>
        <v>Yes</v>
      </c>
      <c r="D231" s="131" t="str">
        <f>'HECVAT - Full | Vendor Response'!D227</f>
        <v>Automated scans continuously monitor for threates and intrusions, while alarms are pushed to the Security team.</v>
      </c>
      <c r="E231" s="143" t="s">
        <v>115</v>
      </c>
      <c r="F231" s="199" t="str">
        <f>VLOOKUP($A231,Questions!B$3:T$256,12,FALSE)</f>
        <v>Yes</v>
      </c>
      <c r="G231" s="208"/>
      <c r="H231" s="200">
        <f>VLOOKUP(A231,Questions!B$25:T$295,16,FALSE)</f>
        <v>15</v>
      </c>
      <c r="I231" s="206"/>
    </row>
    <row r="232" spans="1:10" ht="48" customHeight="1">
      <c r="A232" s="65" t="str">
        <f>'HECVAT - Full | Vendor Response'!A228</f>
        <v>HFIH-04</v>
      </c>
      <c r="B232" s="65" t="str">
        <f>'HECVAT - Full | Vendor Response'!B228</f>
        <v>Do you carry cyber-risk insurance to protect against unforeseen service outages, data that is lost or stolen, and security incidents?</v>
      </c>
      <c r="C232" s="125" t="str">
        <f>'HECVAT - Full | Vendor Response'!C228</f>
        <v>Yes</v>
      </c>
      <c r="D232" s="131" t="str">
        <f>'HECVAT - Full | Vendor Response'!D228</f>
        <v>Weave carries cyberinsurance.</v>
      </c>
      <c r="E232" s="143" t="s">
        <v>115</v>
      </c>
      <c r="F232" s="199" t="str">
        <f>VLOOKUP($A232,Questions!B$3:T$256,12,FALSE)</f>
        <v>Yes</v>
      </c>
      <c r="G232" s="208"/>
      <c r="H232" s="200">
        <f>VLOOKUP(A232,Questions!B$25:T$295,16,FALSE)</f>
        <v>15</v>
      </c>
      <c r="I232" s="206"/>
      <c r="J232" s="240"/>
    </row>
    <row r="233" spans="1:10" ht="48" customHeight="1">
      <c r="A233" s="129" t="str">
        <f>'HECVAT - Full | Vendor Response'!A229</f>
        <v>Quality Assurance</v>
      </c>
      <c r="B233" s="129"/>
      <c r="C233" s="126" t="s">
        <v>530</v>
      </c>
      <c r="D233" s="132" t="s">
        <v>95</v>
      </c>
      <c r="E233" s="134" t="s">
        <v>97</v>
      </c>
      <c r="F233" s="135" t="s">
        <v>532</v>
      </c>
      <c r="G233" s="126" t="s">
        <v>533</v>
      </c>
      <c r="H233" s="126" t="s">
        <v>534</v>
      </c>
      <c r="I233" s="136" t="s">
        <v>535</v>
      </c>
    </row>
    <row r="234" spans="1:10" ht="48" customHeight="1">
      <c r="A234" s="65" t="str">
        <f>'HECVAT - Full | Vendor Response'!A230</f>
        <v>QLAS-01</v>
      </c>
      <c r="B234" s="65" t="str">
        <f>'HECVAT - Full | Vendor Response'!B230</f>
        <v>Do you have a documented and currently implemented Quality Assurance program?</v>
      </c>
      <c r="C234" s="125" t="str">
        <f>'HECVAT - Full | Vendor Response'!C230</f>
        <v>Yes</v>
      </c>
      <c r="D234" s="131" t="str">
        <f>'HECVAT - Full | Vendor Response'!D230</f>
        <v>As part of its configuration management plan, Weave conducts quality testing prior to any release.</v>
      </c>
      <c r="E234" s="143" t="s">
        <v>115</v>
      </c>
      <c r="F234" s="199" t="str">
        <f>VLOOKUP($A234,Questions!B$3:T$256,12,FALSE)</f>
        <v>Yes</v>
      </c>
      <c r="G234" s="208"/>
      <c r="H234" s="200">
        <f>VLOOKUP(A234,Questions!B$25:T$295,16,FALSE)</f>
        <v>10</v>
      </c>
      <c r="I234" s="206"/>
    </row>
    <row r="235" spans="1:10" ht="48" customHeight="1">
      <c r="A235" s="65" t="str">
        <f>'HECVAT - Full | Vendor Response'!A231</f>
        <v>QLAS-02</v>
      </c>
      <c r="B235" s="65" t="str">
        <f>'HECVAT - Full | Vendor Response'!B231</f>
        <v>Do you comply with ISO 9001?</v>
      </c>
      <c r="C235" s="125" t="str">
        <f>'HECVAT - Full | Vendor Response'!C231</f>
        <v>No</v>
      </c>
      <c r="D235" s="131" t="str">
        <f>'HECVAT - Full | Vendor Response'!D231</f>
        <v>Weave partially inherits from AWS, but is not working toward certiifcation at this time.</v>
      </c>
      <c r="E235" s="143" t="s">
        <v>115</v>
      </c>
      <c r="F235" s="199" t="str">
        <f>VLOOKUP($A235,Questions!B$3:T$256,12,FALSE)</f>
        <v>Yes</v>
      </c>
      <c r="G235" s="208"/>
      <c r="H235" s="200">
        <f>VLOOKUP(A235,Questions!B$25:T$295,16,FALSE)</f>
        <v>15</v>
      </c>
      <c r="I235" s="206"/>
    </row>
    <row r="236" spans="1:10" ht="48" customHeight="1">
      <c r="A236" s="65" t="str">
        <f>'HECVAT - Full | Vendor Response'!A232</f>
        <v>QLAS-03</v>
      </c>
      <c r="B236" s="65" t="str">
        <f>'HECVAT - Full | Vendor Response'!B232</f>
        <v>Will your company provide quality and performance metrics in relation to the scope of services and performance expectations for the services you are offering?</v>
      </c>
      <c r="C236" s="125" t="str">
        <f>'HECVAT - Full | Vendor Response'!C232</f>
        <v>Yes</v>
      </c>
      <c r="D236" s="131" t="str">
        <f>'HECVAT - Full | Vendor Response'!D232</f>
        <v xml:space="preserve">As part of its contract, Weave provides a Service-Level Agreement of uptime. </v>
      </c>
      <c r="E236" s="143" t="s">
        <v>115</v>
      </c>
      <c r="F236" s="199" t="str">
        <f>VLOOKUP($A236,Questions!B$3:T$256,12,FALSE)</f>
        <v>Yes</v>
      </c>
      <c r="G236" s="208"/>
      <c r="H236" s="200">
        <f>VLOOKUP(A236,Questions!B$25:T$295,16,FALSE)</f>
        <v>20</v>
      </c>
      <c r="I236" s="206"/>
    </row>
    <row r="237" spans="1:10" ht="48" customHeight="1">
      <c r="A237" s="65" t="str">
        <f>'HECVAT - Full | Vendor Response'!A233</f>
        <v>QLAS-04</v>
      </c>
      <c r="B237" s="65" t="str">
        <f>'HECVAT - Full | Vendor Response'!B233</f>
        <v>Do you incorporate customer feedback into security feature requests?</v>
      </c>
      <c r="C237" s="125" t="str">
        <f>'HECVAT - Full | Vendor Response'!C233</f>
        <v>Yes</v>
      </c>
      <c r="D237" s="131" t="str">
        <f>'HECVAT - Full | Vendor Response'!D233</f>
        <v>Weave consistently takes in customer feedback and incorporates them into new features. Any feedback can be provided at any time in the platform or via a support request.</v>
      </c>
      <c r="E237" s="143" t="s">
        <v>115</v>
      </c>
      <c r="F237" s="199" t="str">
        <f>VLOOKUP($A237,Questions!B$3:T$256,12,FALSE)</f>
        <v>Yes</v>
      </c>
      <c r="G237" s="208"/>
      <c r="H237" s="200">
        <f>VLOOKUP(A237,Questions!B$25:T$295,16,FALSE)</f>
        <v>25</v>
      </c>
      <c r="I237" s="206"/>
    </row>
    <row r="238" spans="1:10" ht="48" customHeight="1">
      <c r="A238" s="65" t="str">
        <f>'HECVAT - Full | Vendor Response'!A234</f>
        <v>QLAS-05</v>
      </c>
      <c r="B238" s="65" t="str">
        <f>'HECVAT - Full | Vendor Response'!B234</f>
        <v>Can you provide an evaluation site to the institution for testing?</v>
      </c>
      <c r="C238" s="125" t="str">
        <f>'HECVAT - Full | Vendor Response'!C234</f>
        <v>Yes</v>
      </c>
      <c r="D238" s="131" t="str">
        <f>'HECVAT - Full | Vendor Response'!D234</f>
        <v>Upon request, an institution can access a demo account.</v>
      </c>
      <c r="E238" s="143" t="s">
        <v>115</v>
      </c>
      <c r="F238" s="199" t="str">
        <f>VLOOKUP($A238,Questions!B$3:T$256,12,FALSE)</f>
        <v>Yes</v>
      </c>
      <c r="G238" s="208"/>
      <c r="H238" s="200">
        <f>VLOOKUP(A238,Questions!B$25:T$295,16,FALSE)</f>
        <v>20</v>
      </c>
      <c r="I238" s="206"/>
      <c r="J238" s="240"/>
    </row>
    <row r="239" spans="1:10" ht="48" customHeight="1">
      <c r="A239" s="129" t="str">
        <f>'HECVAT - Full | Vendor Response'!A235</f>
        <v>Vulnerability Scanning</v>
      </c>
      <c r="B239" s="129"/>
      <c r="C239" s="126" t="s">
        <v>530</v>
      </c>
      <c r="D239" s="132" t="s">
        <v>95</v>
      </c>
      <c r="E239" s="134" t="s">
        <v>97</v>
      </c>
      <c r="F239" s="135" t="s">
        <v>532</v>
      </c>
      <c r="G239" s="126" t="s">
        <v>533</v>
      </c>
      <c r="H239" s="126" t="s">
        <v>534</v>
      </c>
      <c r="I239" s="136" t="s">
        <v>535</v>
      </c>
    </row>
    <row r="240" spans="1:10" ht="48" customHeight="1">
      <c r="A240" s="65" t="str">
        <f>'HECVAT - Full | Vendor Response'!A236</f>
        <v>VULN-01</v>
      </c>
      <c r="B240" s="65" t="str">
        <f>'HECVAT - Full | Vendor Response'!B236</f>
        <v>Are your systems and applications regularly scanned externally for vulnerabilities?</v>
      </c>
      <c r="C240" s="125" t="str">
        <f>'HECVAT - Full | Vendor Response'!C236</f>
        <v>Yes</v>
      </c>
      <c r="D240" s="131" t="str">
        <f>'HECVAT - Full | Vendor Response'!D236</f>
        <v>Weave uses AWS Inspector to continuously scan for vulnerabilites to remediate.</v>
      </c>
      <c r="E240" s="143" t="s">
        <v>115</v>
      </c>
      <c r="F240" s="199" t="str">
        <f>VLOOKUP($A240,Questions!B$3:T$256,12,FALSE)</f>
        <v>Yes</v>
      </c>
      <c r="G240" s="208"/>
      <c r="H240" s="200">
        <f>VLOOKUP(A240,Questions!B$25:T$295,16,FALSE)</f>
        <v>15</v>
      </c>
      <c r="I240" s="206"/>
    </row>
    <row r="241" spans="1:10" ht="48" customHeight="1">
      <c r="A241" s="65" t="str">
        <f>'HECVAT - Full | Vendor Response'!A237</f>
        <v>VULN-02</v>
      </c>
      <c r="B241" s="65" t="str">
        <f>'HECVAT - Full | Vendor Response'!B237</f>
        <v>Have your systems and applications had a third-party security assessment completed in the last year?</v>
      </c>
      <c r="C241" s="125" t="str">
        <f>'HECVAT - Full | Vendor Response'!C237</f>
        <v>No</v>
      </c>
      <c r="D241" s="131" t="str">
        <f>'HECVAT - Full | Vendor Response'!D237</f>
        <v>Weave will have a penetration test completed in Q4 of 2025</v>
      </c>
      <c r="E241" s="143" t="s">
        <v>115</v>
      </c>
      <c r="F241" s="199" t="str">
        <f>VLOOKUP($A241,Questions!B$3:T$256,12,FALSE)</f>
        <v>Yes</v>
      </c>
      <c r="G241" s="208"/>
      <c r="H241" s="200">
        <f>VLOOKUP(A241,Questions!B$25:T$295,16,FALSE)</f>
        <v>20</v>
      </c>
      <c r="I241" s="206"/>
    </row>
    <row r="242" spans="1:10" ht="48" customHeight="1">
      <c r="A242" s="65" t="str">
        <f>'HECVAT - Full | Vendor Response'!A238</f>
        <v>VULN-03</v>
      </c>
      <c r="B242" s="65" t="str">
        <f>'HECVAT - Full | Vendor Response'!B238</f>
        <v>Are your systems and applications scanned with an authenticated user account for vulnerabilities (that are remediated) prior to new releases?</v>
      </c>
      <c r="C242" s="125" t="str">
        <f>'HECVAT - Full | Vendor Response'!C238</f>
        <v>Yes</v>
      </c>
      <c r="D242" s="131" t="str">
        <f>'HECVAT - Full | Vendor Response'!D238</f>
        <v>AWS Inspector scans Weave's staging server as well as it's production server, so items are remediated prior to release to production.</v>
      </c>
      <c r="E242" s="143" t="s">
        <v>115</v>
      </c>
      <c r="F242" s="199" t="str">
        <f>VLOOKUP($A242,Questions!B$3:T$256,12,FALSE)</f>
        <v>Yes</v>
      </c>
      <c r="G242" s="208"/>
      <c r="H242" s="200">
        <f>VLOOKUP(A242,Questions!B$25:T$295,16,FALSE)</f>
        <v>25</v>
      </c>
      <c r="I242" s="206"/>
    </row>
    <row r="243" spans="1:10" ht="48" customHeight="1">
      <c r="A243" s="65" t="str">
        <f>'HECVAT - Full | Vendor Response'!A239</f>
        <v>VULN-04</v>
      </c>
      <c r="B243" s="65" t="str">
        <f>'HECVAT - Full | Vendor Response'!B239</f>
        <v>Will you provide results of application and system vulnerability scans to the institution?</v>
      </c>
      <c r="C243" s="125" t="str">
        <f>'HECVAT - Full | Vendor Response'!C239</f>
        <v>No</v>
      </c>
      <c r="D243" s="131" t="str">
        <f>'HECVAT - Full | Vendor Response'!D239</f>
        <v>Weave will provide results of application and system vulnerability scans to TX-RAMP as part of its quarterly submission. Texas customers can request access via the TX-RAMP portal.</v>
      </c>
      <c r="E243" s="143" t="s">
        <v>115</v>
      </c>
      <c r="F243" s="199" t="str">
        <f>VLOOKUP($A243,Questions!B$3:T$256,12,FALSE)</f>
        <v>Yes</v>
      </c>
      <c r="G243" s="208"/>
      <c r="H243" s="200">
        <f>VLOOKUP(A243,Questions!B$25:T$295,16,FALSE)</f>
        <v>25</v>
      </c>
      <c r="I243" s="206"/>
    </row>
    <row r="244" spans="1:10" ht="48" customHeight="1">
      <c r="A244" s="124" t="str">
        <f>'HECVAT - Full | Vendor Response'!A240</f>
        <v>VULN-05</v>
      </c>
      <c r="B244" s="124" t="str">
        <f>'HECVAT - Full | Vendor Response'!B240</f>
        <v>Describe or provide a reference to how you monitor for and protect against common web application security vulnerabilities (e.g., SQL injection, XSS, XSRF, etc.).</v>
      </c>
      <c r="C244" s="317" t="str">
        <f>'HECVAT - Full | Vendor Response'!C240</f>
        <v>AWS inspector monitors for common web application security vulnerabilities such as SQL injection, XSS, XSRF, and more. Critical and High vulnerabilities are remediated within 30 days, medium and low vulnerabilites are remediated within 180 days.</v>
      </c>
      <c r="D244" s="318"/>
      <c r="E244" s="143" t="s">
        <v>115</v>
      </c>
      <c r="F244" s="199" t="str">
        <f>VLOOKUP($A244,Questions!B$3:T$256,12,FALSE)</f>
        <v>Yes</v>
      </c>
      <c r="G244" s="208"/>
      <c r="H244" s="200">
        <f>VLOOKUP(A244,Questions!B$25:T$295,16,FALSE)</f>
        <v>20</v>
      </c>
      <c r="I244" s="206"/>
    </row>
    <row r="245" spans="1:10" ht="48" customHeight="1">
      <c r="A245" s="65" t="str">
        <f>'HECVAT - Full | Vendor Response'!A241</f>
        <v>VULN-06</v>
      </c>
      <c r="B245" s="65" t="str">
        <f>'HECVAT - Full | Vendor Response'!B241</f>
        <v>Will you allow the institution to perform its own vulnerability testing and/or scanning of your systems and/or application, provided that testing is performed at a mutually agreed upon time and date?</v>
      </c>
      <c r="C245" s="125" t="str">
        <f>'HECVAT - Full | Vendor Response'!C241</f>
        <v>No</v>
      </c>
      <c r="D245" s="131" t="str">
        <f>'HECVAT - Full | Vendor Response'!D241</f>
        <v>Weave will provide scans and data upon request</v>
      </c>
      <c r="E245" s="143" t="s">
        <v>115</v>
      </c>
      <c r="F245" s="199" t="str">
        <f>VLOOKUP($A245,Questions!B$3:T$256,12,FALSE)</f>
        <v>Yes</v>
      </c>
      <c r="G245" s="208"/>
      <c r="H245" s="200">
        <f>VLOOKUP(A245,Questions!B$25:T$295,16,FALSE)</f>
        <v>25</v>
      </c>
      <c r="I245" s="206"/>
      <c r="J245" s="240"/>
    </row>
    <row r="246" spans="1:10" ht="48" customHeight="1">
      <c r="A246" s="129" t="str">
        <f>'HECVAT - Full | Vendor Response'!A242</f>
        <v>HIPAA - Optional based on QUALIFIER response.</v>
      </c>
      <c r="B246" s="129"/>
      <c r="C246" s="126" t="s">
        <v>530</v>
      </c>
      <c r="D246" s="132" t="s">
        <v>95</v>
      </c>
      <c r="E246" s="134" t="s">
        <v>97</v>
      </c>
      <c r="F246" s="135" t="s">
        <v>532</v>
      </c>
      <c r="G246" s="126" t="s">
        <v>533</v>
      </c>
      <c r="H246" s="126" t="s">
        <v>534</v>
      </c>
      <c r="I246" s="136" t="s">
        <v>535</v>
      </c>
    </row>
    <row r="247" spans="1:10" ht="48" customHeight="1">
      <c r="A247" s="65" t="str">
        <f>'HECVAT - Full | Vendor Response'!A243</f>
        <v>HIPA-01</v>
      </c>
      <c r="B247" s="65" t="str">
        <f>'HECVAT - Full | Vendor Response'!B243</f>
        <v>Do your workforce members receive regular training related to the HIPAA Privacy and Security Rules and the HITECH Act?</v>
      </c>
      <c r="C247" s="125">
        <f>'HECVAT - Full | Vendor Response'!C243</f>
        <v>0</v>
      </c>
      <c r="D247" s="131">
        <f>'HECVAT - Full | Vendor Response'!D243</f>
        <v>0</v>
      </c>
      <c r="E247" s="143" t="s">
        <v>115</v>
      </c>
      <c r="F247" s="199" t="str">
        <f>VLOOKUP($A247,Questions!B$3:T$256,12,FALSE)</f>
        <v>Yes</v>
      </c>
      <c r="G247" s="208"/>
      <c r="H247" s="200">
        <f>VLOOKUP(A247,Questions!B$25:T$295,16,FALSE)</f>
        <v>25</v>
      </c>
      <c r="I247" s="206"/>
    </row>
    <row r="248" spans="1:10" ht="48" customHeight="1">
      <c r="A248" s="65" t="str">
        <f>'HECVAT - Full | Vendor Response'!A244</f>
        <v>HIPA-02</v>
      </c>
      <c r="B248" s="65" t="str">
        <f>'HECVAT - Full | Vendor Response'!B244</f>
        <v>Do you monitor or receive information regarding changes in HIPAA regulations?</v>
      </c>
      <c r="C248" s="125">
        <f>'HECVAT - Full | Vendor Response'!C244</f>
        <v>0</v>
      </c>
      <c r="D248" s="131">
        <f>'HECVAT - Full | Vendor Response'!D244</f>
        <v>0</v>
      </c>
      <c r="E248" s="143" t="s">
        <v>115</v>
      </c>
      <c r="F248" s="199" t="str">
        <f>VLOOKUP($A248,Questions!B$3:T$256,12,FALSE)</f>
        <v>Yes</v>
      </c>
      <c r="G248" s="208"/>
      <c r="H248" s="200">
        <f>VLOOKUP(A248,Questions!B$25:T$295,16,FALSE)</f>
        <v>20</v>
      </c>
      <c r="I248" s="206"/>
    </row>
    <row r="249" spans="1:10" ht="48" customHeight="1">
      <c r="A249" s="65" t="str">
        <f>'HECVAT - Full | Vendor Response'!A245</f>
        <v>HIPA-03</v>
      </c>
      <c r="B249" s="65" t="str">
        <f>'HECVAT - Full | Vendor Response'!B245</f>
        <v>Has your organization designated HIPAA Privacy and Security officers as required by the rules?</v>
      </c>
      <c r="C249" s="125">
        <f>'HECVAT - Full | Vendor Response'!C245</f>
        <v>0</v>
      </c>
      <c r="D249" s="131">
        <f>'HECVAT - Full | Vendor Response'!D245</f>
        <v>0</v>
      </c>
      <c r="E249" s="143" t="s">
        <v>115</v>
      </c>
      <c r="F249" s="199" t="str">
        <f>VLOOKUP($A249,Questions!B$3:T$256,12,FALSE)</f>
        <v>Yes</v>
      </c>
      <c r="G249" s="208"/>
      <c r="H249" s="200">
        <f>VLOOKUP(A249,Questions!B$25:T$295,16,FALSE)</f>
        <v>20</v>
      </c>
      <c r="I249" s="206"/>
    </row>
    <row r="250" spans="1:10" ht="48" customHeight="1">
      <c r="A250" s="65" t="str">
        <f>'HECVAT - Full | Vendor Response'!A246</f>
        <v>HIPA-04</v>
      </c>
      <c r="B250" s="65" t="str">
        <f>'HECVAT - Full | Vendor Response'!B246</f>
        <v>Do you comply with the requirements of the Health Information Technology for Economic and Clinical Health Act (HITECH)?</v>
      </c>
      <c r="C250" s="125">
        <f>'HECVAT - Full | Vendor Response'!C246</f>
        <v>0</v>
      </c>
      <c r="D250" s="131">
        <f>'HECVAT - Full | Vendor Response'!D246</f>
        <v>0</v>
      </c>
      <c r="E250" s="143" t="s">
        <v>115</v>
      </c>
      <c r="F250" s="199" t="str">
        <f>VLOOKUP($A250,Questions!B$3:T$256,12,FALSE)</f>
        <v>Yes</v>
      </c>
      <c r="G250" s="208"/>
      <c r="H250" s="200">
        <f>VLOOKUP(A250,Questions!B$25:T$295,16,FALSE)</f>
        <v>20</v>
      </c>
      <c r="I250" s="206"/>
    </row>
    <row r="251" spans="1:10" ht="48" customHeight="1">
      <c r="A251" s="65" t="str">
        <f>'HECVAT - Full | Vendor Response'!A247</f>
        <v>HIPA-05</v>
      </c>
      <c r="B251" s="65" t="str">
        <f>'HECVAT - Full | Vendor Response'!B247</f>
        <v>Have you conducted a risk analysis as required under the Security Rule?</v>
      </c>
      <c r="C251" s="125">
        <f>'HECVAT - Full | Vendor Response'!C247</f>
        <v>0</v>
      </c>
      <c r="D251" s="131">
        <f>'HECVAT - Full | Vendor Response'!D247</f>
        <v>0</v>
      </c>
      <c r="E251" s="143" t="s">
        <v>115</v>
      </c>
      <c r="F251" s="199" t="str">
        <f>VLOOKUP($A251,Questions!B$3:T$256,12,FALSE)</f>
        <v>Yes</v>
      </c>
      <c r="G251" s="208"/>
      <c r="H251" s="200">
        <f>VLOOKUP(A251,Questions!B$25:T$295,16,FALSE)</f>
        <v>20</v>
      </c>
      <c r="I251" s="206"/>
    </row>
    <row r="252" spans="1:10" ht="48" customHeight="1">
      <c r="A252" s="65" t="str">
        <f>'HECVAT - Full | Vendor Response'!A248</f>
        <v>HIPA-06</v>
      </c>
      <c r="B252" s="65" t="str">
        <f>'HECVAT - Full | Vendor Response'!B248</f>
        <v>Have you identified areas of risks?</v>
      </c>
      <c r="C252" s="125">
        <f>'HECVAT - Full | Vendor Response'!C248</f>
        <v>0</v>
      </c>
      <c r="D252" s="131">
        <f>'HECVAT - Full | Vendor Response'!D248</f>
        <v>0</v>
      </c>
      <c r="E252" s="143" t="s">
        <v>115</v>
      </c>
      <c r="F252" s="199" t="str">
        <f>VLOOKUP($A252,Questions!B$3:T$256,12,FALSE)</f>
        <v>Yes</v>
      </c>
      <c r="G252" s="208"/>
      <c r="H252" s="200">
        <f>VLOOKUP(A252,Questions!B$25:T$295,16,FALSE)</f>
        <v>25</v>
      </c>
      <c r="I252" s="206"/>
    </row>
    <row r="253" spans="1:10" ht="48" customHeight="1">
      <c r="A253" s="65" t="str">
        <f>'HECVAT - Full | Vendor Response'!A249</f>
        <v>HIPA-07</v>
      </c>
      <c r="B253" s="65" t="str">
        <f>'HECVAT - Full | Vendor Response'!B249</f>
        <v>Have you taken actions to mitigate the identified risks?</v>
      </c>
      <c r="C253" s="125">
        <f>'HECVAT - Full | Vendor Response'!C249</f>
        <v>0</v>
      </c>
      <c r="D253" s="131">
        <f>'HECVAT - Full | Vendor Response'!D249</f>
        <v>0</v>
      </c>
      <c r="E253" s="143" t="s">
        <v>115</v>
      </c>
      <c r="F253" s="199" t="str">
        <f>VLOOKUP($A253,Questions!B$3:T$256,12,FALSE)</f>
        <v>Yes</v>
      </c>
      <c r="G253" s="208"/>
      <c r="H253" s="200">
        <f>VLOOKUP(A253,Questions!B$25:T$295,16,FALSE)</f>
        <v>20</v>
      </c>
      <c r="I253" s="206"/>
    </row>
    <row r="254" spans="1:10" ht="48" customHeight="1">
      <c r="A254" s="65" t="str">
        <f>'HECVAT - Full | Vendor Response'!A250</f>
        <v>HIPA-08</v>
      </c>
      <c r="B254" s="65" t="str">
        <f>'HECVAT - Full | Vendor Response'!B250</f>
        <v>Does your application require user and system administrator password changes at a frequency no greater than 90 days?</v>
      </c>
      <c r="C254" s="125">
        <f>'HECVAT - Full | Vendor Response'!C250</f>
        <v>0</v>
      </c>
      <c r="D254" s="131">
        <f>'HECVAT - Full | Vendor Response'!D250</f>
        <v>0</v>
      </c>
      <c r="E254" s="143" t="s">
        <v>115</v>
      </c>
      <c r="F254" s="199" t="str">
        <f>VLOOKUP($A254,Questions!B$3:T$256,12,FALSE)</f>
        <v>Yes</v>
      </c>
      <c r="G254" s="208"/>
      <c r="H254" s="200">
        <f>VLOOKUP(A254,Questions!B$25:T$295,16,FALSE)</f>
        <v>20</v>
      </c>
      <c r="I254" s="206"/>
    </row>
    <row r="255" spans="1:10" ht="48" customHeight="1">
      <c r="A255" s="65" t="str">
        <f>'HECVAT - Full | Vendor Response'!A251</f>
        <v>HIPA-09</v>
      </c>
      <c r="B255" s="65" t="str">
        <f>'HECVAT - Full | Vendor Response'!B251</f>
        <v>Does your application require users to set their own password after an administrator reset or on first use of the account?</v>
      </c>
      <c r="C255" s="125">
        <f>'HECVAT - Full | Vendor Response'!C251</f>
        <v>0</v>
      </c>
      <c r="D255" s="131">
        <f>'HECVAT - Full | Vendor Response'!D251</f>
        <v>0</v>
      </c>
      <c r="E255" s="143" t="s">
        <v>115</v>
      </c>
      <c r="F255" s="199" t="str">
        <f>VLOOKUP($A255,Questions!B$3:T$256,12,FALSE)</f>
        <v>Yes</v>
      </c>
      <c r="G255" s="208"/>
      <c r="H255" s="200">
        <f>VLOOKUP(A255,Questions!B$25:T$295,16,FALSE)</f>
        <v>20</v>
      </c>
      <c r="I255" s="206"/>
    </row>
    <row r="256" spans="1:10" ht="48" customHeight="1">
      <c r="A256" s="65" t="str">
        <f>'HECVAT - Full | Vendor Response'!A252</f>
        <v>HIPA-10</v>
      </c>
      <c r="B256" s="65" t="str">
        <f>'HECVAT - Full | Vendor Response'!B252</f>
        <v xml:space="preserve">Does your application lock out an account after a number of failed login attempts? </v>
      </c>
      <c r="C256" s="125">
        <f>'HECVAT - Full | Vendor Response'!C252</f>
        <v>0</v>
      </c>
      <c r="D256" s="131">
        <f>'HECVAT - Full | Vendor Response'!D252</f>
        <v>0</v>
      </c>
      <c r="E256" s="143" t="s">
        <v>115</v>
      </c>
      <c r="F256" s="199" t="str">
        <f>VLOOKUP($A256,Questions!B$3:T$256,12,FALSE)</f>
        <v>Yes</v>
      </c>
      <c r="G256" s="208"/>
      <c r="H256" s="200">
        <f>VLOOKUP(A256,Questions!B$25:T$295,16,FALSE)</f>
        <v>20</v>
      </c>
      <c r="I256" s="206"/>
    </row>
    <row r="257" spans="1:9" ht="48" customHeight="1">
      <c r="A257" s="65" t="str">
        <f>'HECVAT - Full | Vendor Response'!A253</f>
        <v>HIPA-11</v>
      </c>
      <c r="B257" s="65" t="str">
        <f>'HECVAT - Full | Vendor Response'!B253</f>
        <v>Does your application automatically lock or log-out an account after a period of inactivity?</v>
      </c>
      <c r="C257" s="125">
        <f>'HECVAT - Full | Vendor Response'!C253</f>
        <v>0</v>
      </c>
      <c r="D257" s="131">
        <f>'HECVAT - Full | Vendor Response'!D253</f>
        <v>0</v>
      </c>
      <c r="E257" s="143" t="s">
        <v>115</v>
      </c>
      <c r="F257" s="199" t="str">
        <f>VLOOKUP($A257,Questions!B$3:T$256,12,FALSE)</f>
        <v>Yes</v>
      </c>
      <c r="G257" s="208"/>
      <c r="H257" s="200">
        <f>VLOOKUP(A257,Questions!B$25:T$295,16,FALSE)</f>
        <v>20</v>
      </c>
      <c r="I257" s="206"/>
    </row>
    <row r="258" spans="1:9" ht="48" customHeight="1">
      <c r="A258" s="65" t="str">
        <f>'HECVAT - Full | Vendor Response'!A254</f>
        <v>HIPA-12</v>
      </c>
      <c r="B258" s="65" t="str">
        <f>'HECVAT - Full | Vendor Response'!B254</f>
        <v>Are passwords visible in plain text, whether when stored or entered, including service level accounts (i.e., database accounts, etc.)?</v>
      </c>
      <c r="C258" s="125">
        <f>'HECVAT - Full | Vendor Response'!C254</f>
        <v>0</v>
      </c>
      <c r="D258" s="131">
        <f>'HECVAT - Full | Vendor Response'!D254</f>
        <v>0</v>
      </c>
      <c r="E258" s="143" t="s">
        <v>115</v>
      </c>
      <c r="F258" s="199" t="str">
        <f>VLOOKUP($A258,Questions!B$3:T$256,12,FALSE)</f>
        <v>No</v>
      </c>
      <c r="G258" s="208"/>
      <c r="H258" s="200">
        <f>VLOOKUP(A258,Questions!B$25:T$295,16,FALSE)</f>
        <v>20</v>
      </c>
      <c r="I258" s="206"/>
    </row>
    <row r="259" spans="1:9" ht="48" customHeight="1">
      <c r="A259" s="65" t="str">
        <f>'HECVAT - Full | Vendor Response'!A255</f>
        <v>HIPA-13</v>
      </c>
      <c r="B259" s="65" t="str">
        <f>'HECVAT - Full | Vendor Response'!B255</f>
        <v>If the application is institution-hosted, can all service level and administrative account passwords be changed by the institution?</v>
      </c>
      <c r="C259" s="125">
        <f>'HECVAT - Full | Vendor Response'!C255</f>
        <v>0</v>
      </c>
      <c r="D259" s="131">
        <f>'HECVAT - Full | Vendor Response'!D255</f>
        <v>0</v>
      </c>
      <c r="E259" s="143" t="s">
        <v>115</v>
      </c>
      <c r="F259" s="199" t="str">
        <f>VLOOKUP($A259,Questions!B$3:T$256,12,FALSE)</f>
        <v>Yes</v>
      </c>
      <c r="G259" s="208"/>
      <c r="H259" s="200">
        <f>VLOOKUP(A259,Questions!B$25:T$295,16,FALSE)</f>
        <v>20</v>
      </c>
      <c r="I259" s="206"/>
    </row>
    <row r="260" spans="1:9" ht="48" customHeight="1">
      <c r="A260" s="65" t="str">
        <f>'HECVAT - Full | Vendor Response'!A256</f>
        <v>HIPA-14</v>
      </c>
      <c r="B260" s="65" t="str">
        <f>'HECVAT - Full | Vendor Response'!B256</f>
        <v>Does your application provide the ability to define user access levels?</v>
      </c>
      <c r="C260" s="125">
        <f>'HECVAT - Full | Vendor Response'!C256</f>
        <v>0</v>
      </c>
      <c r="D260" s="131">
        <f>'HECVAT - Full | Vendor Response'!D256</f>
        <v>0</v>
      </c>
      <c r="E260" s="143" t="s">
        <v>115</v>
      </c>
      <c r="F260" s="199" t="str">
        <f>VLOOKUP($A260,Questions!B$3:T$256,12,FALSE)</f>
        <v>Yes</v>
      </c>
      <c r="G260" s="208"/>
      <c r="H260" s="200">
        <f>VLOOKUP(A260,Questions!B$25:T$295,16,FALSE)</f>
        <v>20</v>
      </c>
      <c r="I260" s="206"/>
    </row>
    <row r="261" spans="1:9" ht="48" customHeight="1">
      <c r="A261" s="65" t="str">
        <f>'HECVAT - Full | Vendor Response'!A257</f>
        <v>HIPA-15</v>
      </c>
      <c r="B261" s="65" t="str">
        <f>'HECVAT - Full | Vendor Response'!B257</f>
        <v>Does your application support varying levels of access to administrative tasks defined individually per user?</v>
      </c>
      <c r="C261" s="125">
        <f>'HECVAT - Full | Vendor Response'!C257</f>
        <v>0</v>
      </c>
      <c r="D261" s="131">
        <f>'HECVAT - Full | Vendor Response'!D257</f>
        <v>0</v>
      </c>
      <c r="E261" s="143" t="s">
        <v>115</v>
      </c>
      <c r="F261" s="199" t="str">
        <f>VLOOKUP($A261,Questions!B$3:T$256,12,FALSE)</f>
        <v>Yes</v>
      </c>
      <c r="G261" s="208"/>
      <c r="H261" s="200">
        <f>VLOOKUP(A261,Questions!B$25:T$295,16,FALSE)</f>
        <v>20</v>
      </c>
      <c r="I261" s="206"/>
    </row>
    <row r="262" spans="1:9" ht="48" customHeight="1">
      <c r="A262" s="65" t="str">
        <f>'HECVAT - Full | Vendor Response'!A258</f>
        <v>HIPA-16</v>
      </c>
      <c r="B262" s="65" t="str">
        <f>'HECVAT - Full | Vendor Response'!B258</f>
        <v>Does your application support varying levels of access to records based on user ID?</v>
      </c>
      <c r="C262" s="125">
        <f>'HECVAT - Full | Vendor Response'!C258</f>
        <v>0</v>
      </c>
      <c r="D262" s="131">
        <f>'HECVAT - Full | Vendor Response'!D258</f>
        <v>0</v>
      </c>
      <c r="E262" s="143" t="s">
        <v>115</v>
      </c>
      <c r="F262" s="199" t="str">
        <f>VLOOKUP($A262,Questions!B$3:T$256,12,FALSE)</f>
        <v>No</v>
      </c>
      <c r="G262" s="208"/>
      <c r="H262" s="200">
        <f>VLOOKUP(A262,Questions!B$25:T$295,16,FALSE)</f>
        <v>20</v>
      </c>
      <c r="I262" s="206"/>
    </row>
    <row r="263" spans="1:9" ht="48" customHeight="1">
      <c r="A263" s="65" t="str">
        <f>'HECVAT - Full | Vendor Response'!A259</f>
        <v>HIPA-17</v>
      </c>
      <c r="B263" s="65" t="str">
        <f>'HECVAT - Full | Vendor Response'!B259</f>
        <v>Is there a limit to the number of groups to which a user can be assigned?</v>
      </c>
      <c r="C263" s="125">
        <f>'HECVAT - Full | Vendor Response'!C259</f>
        <v>0</v>
      </c>
      <c r="D263" s="131">
        <f>'HECVAT - Full | Vendor Response'!D259</f>
        <v>0</v>
      </c>
      <c r="E263" s="143" t="s">
        <v>115</v>
      </c>
      <c r="F263" s="199" t="str">
        <f>VLOOKUP($A263,Questions!B$3:T$256,12,FALSE)</f>
        <v>Yes</v>
      </c>
      <c r="G263" s="208"/>
      <c r="H263" s="200">
        <f>VLOOKUP(A263,Questions!B$25:T$295,16,FALSE)</f>
        <v>20</v>
      </c>
      <c r="I263" s="206"/>
    </row>
    <row r="264" spans="1:9" ht="48" customHeight="1">
      <c r="A264" s="65" t="str">
        <f>'HECVAT - Full | Vendor Response'!A260</f>
        <v>HIPA-18</v>
      </c>
      <c r="B264" s="65" t="str">
        <f>'HECVAT - Full | Vendor Response'!B260</f>
        <v>Do accounts used for vendor-supplied remote support abide by the same authentication policies and access logging as the rest of the system?</v>
      </c>
      <c r="C264" s="125">
        <f>'HECVAT - Full | Vendor Response'!C260</f>
        <v>0</v>
      </c>
      <c r="D264" s="131">
        <f>'HECVAT - Full | Vendor Response'!D260</f>
        <v>0</v>
      </c>
      <c r="E264" s="143" t="s">
        <v>115</v>
      </c>
      <c r="F264" s="199" t="str">
        <f>VLOOKUP($A264,Questions!B$3:T$256,12,FALSE)</f>
        <v>Yes</v>
      </c>
      <c r="G264" s="208"/>
      <c r="H264" s="200">
        <f>VLOOKUP(A264,Questions!B$25:T$295,16,FALSE)</f>
        <v>20</v>
      </c>
      <c r="I264" s="206"/>
    </row>
    <row r="265" spans="1:9" ht="48" customHeight="1">
      <c r="A265" s="65" t="str">
        <f>'HECVAT - Full | Vendor Response'!A261</f>
        <v>HIPA-19</v>
      </c>
      <c r="B265" s="65" t="str">
        <f>'HECVAT - Full | Vendor Response'!B261</f>
        <v xml:space="preserve">Does the application log record access including specific user, date/time of access, and originating IP or device? </v>
      </c>
      <c r="C265" s="125">
        <f>'HECVAT - Full | Vendor Response'!C261</f>
        <v>0</v>
      </c>
      <c r="D265" s="131">
        <f>'HECVAT - Full | Vendor Response'!D261</f>
        <v>0</v>
      </c>
      <c r="E265" s="143" t="s">
        <v>115</v>
      </c>
      <c r="F265" s="199" t="str">
        <f>VLOOKUP($A265,Questions!B$3:T$256,12,FALSE)</f>
        <v>Yes</v>
      </c>
      <c r="G265" s="208"/>
      <c r="H265" s="200">
        <f>VLOOKUP(A265,Questions!B$25:T$295,16,FALSE)</f>
        <v>20</v>
      </c>
      <c r="I265" s="206"/>
    </row>
    <row r="266" spans="1:9" ht="48" customHeight="1">
      <c r="A266" s="65" t="str">
        <f>'HECVAT - Full | Vendor Response'!A262</f>
        <v>HIPA-20</v>
      </c>
      <c r="B266" s="65" t="str">
        <f>'HECVAT - Full | Vendor Response'!B262</f>
        <v>Does the application log administrative activity, such user account access changes and password changes, including specific user, date/time of changes, and originating IP or device?</v>
      </c>
      <c r="C266" s="125">
        <f>'HECVAT - Full | Vendor Response'!C262</f>
        <v>0</v>
      </c>
      <c r="D266" s="131">
        <f>'HECVAT - Full | Vendor Response'!D262</f>
        <v>0</v>
      </c>
      <c r="E266" s="143" t="s">
        <v>115</v>
      </c>
      <c r="F266" s="199" t="str">
        <f>VLOOKUP($A266,Questions!B$3:T$256,12,FALSE)</f>
        <v>Yes</v>
      </c>
      <c r="G266" s="208"/>
      <c r="H266" s="200">
        <f>VLOOKUP(A266,Questions!B$25:T$295,16,FALSE)</f>
        <v>20</v>
      </c>
      <c r="I266" s="206"/>
    </row>
    <row r="267" spans="1:9" ht="48" customHeight="1">
      <c r="A267" s="65" t="str">
        <f>'HECVAT - Full | Vendor Response'!A263</f>
        <v>HIPA-21</v>
      </c>
      <c r="B267" s="65" t="str">
        <f>'HECVAT - Full | Vendor Response'!B263</f>
        <v>How long does the application keep access/change logs?</v>
      </c>
      <c r="C267" s="125">
        <f>'HECVAT - Full | Vendor Response'!C263</f>
        <v>0</v>
      </c>
      <c r="D267" s="131">
        <f>'HECVAT - Full | Vendor Response'!D263</f>
        <v>0</v>
      </c>
      <c r="E267" s="143" t="s">
        <v>115</v>
      </c>
      <c r="F267" s="199" t="str">
        <f>VLOOKUP($A267,Questions!B$3:T$256,12,FALSE)</f>
        <v>Yes</v>
      </c>
      <c r="G267" s="208"/>
      <c r="H267" s="200">
        <f>VLOOKUP(A267,Questions!B$25:T$295,16,FALSE)</f>
        <v>20</v>
      </c>
      <c r="I267" s="206"/>
    </row>
    <row r="268" spans="1:9" ht="48" customHeight="1">
      <c r="A268" s="65" t="str">
        <f>'HECVAT - Full | Vendor Response'!A264</f>
        <v>HIPA-22</v>
      </c>
      <c r="B268" s="65" t="str">
        <f>'HECVAT - Full | Vendor Response'!B264</f>
        <v xml:space="preserve">Can the application logs be archived? </v>
      </c>
      <c r="C268" s="125">
        <f>'HECVAT - Full | Vendor Response'!C264</f>
        <v>0</v>
      </c>
      <c r="D268" s="131">
        <f>'HECVAT - Full | Vendor Response'!D264</f>
        <v>0</v>
      </c>
      <c r="E268" s="143" t="s">
        <v>115</v>
      </c>
      <c r="F268" s="199" t="str">
        <f>VLOOKUP($A268,Questions!B$3:T$256,12,FALSE)</f>
        <v>Yes</v>
      </c>
      <c r="G268" s="208"/>
      <c r="H268" s="200">
        <f>VLOOKUP(A268,Questions!B$25:T$295,16,FALSE)</f>
        <v>20</v>
      </c>
      <c r="I268" s="206"/>
    </row>
    <row r="269" spans="1:9" ht="48" customHeight="1">
      <c r="A269" s="65" t="str">
        <f>'HECVAT - Full | Vendor Response'!A265</f>
        <v>HIPA-23</v>
      </c>
      <c r="B269" s="65" t="str">
        <f>'HECVAT - Full | Vendor Response'!B265</f>
        <v xml:space="preserve">Can the application logs be saved externally? </v>
      </c>
      <c r="C269" s="125">
        <f>'HECVAT - Full | Vendor Response'!C265</f>
        <v>0</v>
      </c>
      <c r="D269" s="131">
        <f>'HECVAT - Full | Vendor Response'!D265</f>
        <v>0</v>
      </c>
      <c r="E269" s="143" t="s">
        <v>115</v>
      </c>
      <c r="F269" s="199" t="str">
        <f>VLOOKUP($A269,Questions!B$3:T$256,12,FALSE)</f>
        <v>Yes</v>
      </c>
      <c r="G269" s="208"/>
      <c r="H269" s="200">
        <f>VLOOKUP(A269,Questions!B$25:T$295,16,FALSE)</f>
        <v>20</v>
      </c>
      <c r="I269" s="206"/>
    </row>
    <row r="270" spans="1:9" ht="48" customHeight="1">
      <c r="A270" s="65" t="str">
        <f>'HECVAT - Full | Vendor Response'!A266</f>
        <v>HIPA-24</v>
      </c>
      <c r="B270" s="65" t="str">
        <f>'HECVAT - Full | Vendor Response'!B266</f>
        <v>Do your data backup and retention policies and practices meet HIPAA requirements?</v>
      </c>
      <c r="C270" s="125">
        <f>'HECVAT - Full | Vendor Response'!C266</f>
        <v>0</v>
      </c>
      <c r="D270" s="131">
        <f>'HECVAT - Full | Vendor Response'!D266</f>
        <v>0</v>
      </c>
      <c r="E270" s="143" t="s">
        <v>115</v>
      </c>
      <c r="F270" s="199" t="str">
        <f>VLOOKUP($A270,Questions!B$3:T$256,12,FALSE)</f>
        <v>Yes</v>
      </c>
      <c r="G270" s="208"/>
      <c r="H270" s="200">
        <f>VLOOKUP(A270,Questions!B$25:T$295,16,FALSE)</f>
        <v>15</v>
      </c>
      <c r="I270" s="206"/>
    </row>
    <row r="271" spans="1:9" ht="48" customHeight="1">
      <c r="A271" s="65" t="str">
        <f>'HECVAT - Full | Vendor Response'!A267</f>
        <v>HIPA-25</v>
      </c>
      <c r="B271" s="65" t="str">
        <f>'HECVAT - Full | Vendor Response'!B267</f>
        <v>Do you have a disaster recovery plan and emergency mode operation plan?</v>
      </c>
      <c r="C271" s="125">
        <f>'HECVAT - Full | Vendor Response'!C267</f>
        <v>0</v>
      </c>
      <c r="D271" s="131">
        <f>'HECVAT - Full | Vendor Response'!D267</f>
        <v>0</v>
      </c>
      <c r="E271" s="143" t="s">
        <v>115</v>
      </c>
      <c r="F271" s="199" t="str">
        <f>VLOOKUP($A271,Questions!B$3:T$256,12,FALSE)</f>
        <v>Yes</v>
      </c>
      <c r="G271" s="208"/>
      <c r="H271" s="200">
        <f>VLOOKUP(A271,Questions!B$25:T$295,16,FALSE)</f>
        <v>20</v>
      </c>
      <c r="I271" s="206"/>
    </row>
    <row r="272" spans="1:9" ht="48" customHeight="1">
      <c r="A272" s="65" t="str">
        <f>'HECVAT - Full | Vendor Response'!A268</f>
        <v>HIPA-26</v>
      </c>
      <c r="B272" s="65" t="str">
        <f>'HECVAT - Full | Vendor Response'!B268</f>
        <v>Have the policies/plans mentioned above been tested?</v>
      </c>
      <c r="C272" s="125">
        <f>'HECVAT - Full | Vendor Response'!C268</f>
        <v>0</v>
      </c>
      <c r="D272" s="131">
        <f>'HECVAT - Full | Vendor Response'!D268</f>
        <v>0</v>
      </c>
      <c r="E272" s="143" t="s">
        <v>115</v>
      </c>
      <c r="F272" s="199" t="str">
        <f>VLOOKUP($A272,Questions!B$3:T$256,12,FALSE)</f>
        <v>Yes</v>
      </c>
      <c r="G272" s="208"/>
      <c r="H272" s="200">
        <f>VLOOKUP(A272,Questions!B$25:T$295,16,FALSE)</f>
        <v>25</v>
      </c>
      <c r="I272" s="206"/>
    </row>
    <row r="273" spans="1:10" ht="48" customHeight="1">
      <c r="A273" s="65" t="str">
        <f>'HECVAT - Full | Vendor Response'!A269</f>
        <v>HIPA-27</v>
      </c>
      <c r="B273" s="65" t="str">
        <f>'HECVAT - Full | Vendor Response'!B269</f>
        <v>Can you provide a HIPAA compliance attestation document?</v>
      </c>
      <c r="C273" s="125">
        <f>'HECVAT - Full | Vendor Response'!C269</f>
        <v>0</v>
      </c>
      <c r="D273" s="131">
        <f>'HECVAT - Full | Vendor Response'!D269</f>
        <v>0</v>
      </c>
      <c r="E273" s="143" t="s">
        <v>115</v>
      </c>
      <c r="F273" s="199" t="str">
        <f>VLOOKUP($A273,Questions!B$3:T$256,12,FALSE)</f>
        <v>Yes</v>
      </c>
      <c r="G273" s="208"/>
      <c r="H273" s="200">
        <f>VLOOKUP(A273,Questions!B$25:T$295,16,FALSE)</f>
        <v>20</v>
      </c>
      <c r="I273" s="206"/>
    </row>
    <row r="274" spans="1:10" ht="48" customHeight="1">
      <c r="A274" s="65" t="str">
        <f>'HECVAT - Full | Vendor Response'!A270</f>
        <v>HIPA-28</v>
      </c>
      <c r="B274" s="65" t="str">
        <f>'HECVAT - Full | Vendor Response'!B270</f>
        <v>Are you willing to enter into a Business Associate Agreement (BAA)?</v>
      </c>
      <c r="C274" s="125">
        <f>'HECVAT - Full | Vendor Response'!C270</f>
        <v>0</v>
      </c>
      <c r="D274" s="131">
        <f>'HECVAT - Full | Vendor Response'!D270</f>
        <v>0</v>
      </c>
      <c r="E274" s="143" t="s">
        <v>115</v>
      </c>
      <c r="F274" s="199" t="str">
        <f>VLOOKUP($A274,Questions!B$3:T$256,12,FALSE)</f>
        <v>Yes</v>
      </c>
      <c r="G274" s="208"/>
      <c r="H274" s="200">
        <f>VLOOKUP(A274,Questions!B$25:T$295,16,FALSE)</f>
        <v>20</v>
      </c>
      <c r="I274" s="206"/>
    </row>
    <row r="275" spans="1:10" ht="48" customHeight="1">
      <c r="A275" s="65" t="str">
        <f>'HECVAT - Full | Vendor Response'!A271</f>
        <v>HIPA-29</v>
      </c>
      <c r="B275" s="65" t="str">
        <f>'HECVAT - Full | Vendor Response'!B271</f>
        <v>Have you entered into a BAA with all subcontractors who may have access to protected health information (PHI)?</v>
      </c>
      <c r="C275" s="125">
        <f>'HECVAT - Full | Vendor Response'!C271</f>
        <v>0</v>
      </c>
      <c r="D275" s="131">
        <f>'HECVAT - Full | Vendor Response'!D271</f>
        <v>0</v>
      </c>
      <c r="E275" s="143" t="s">
        <v>115</v>
      </c>
      <c r="F275" s="199" t="str">
        <f>VLOOKUP($A275,Questions!B$3:T$256,12,FALSE)</f>
        <v>Yes</v>
      </c>
      <c r="G275" s="208"/>
      <c r="H275" s="200">
        <f>VLOOKUP(A275,Questions!B$25:T$295,16,FALSE)</f>
        <v>25</v>
      </c>
      <c r="I275" s="206"/>
      <c r="J275" s="240"/>
    </row>
    <row r="276" spans="1:10" ht="48" customHeight="1">
      <c r="A276" s="129" t="str">
        <f>'HECVAT - Full | Vendor Response'!A272</f>
        <v>PCI DSS - Optional based on QUALIFIER response.</v>
      </c>
      <c r="B276" s="129"/>
      <c r="C276" s="126" t="s">
        <v>530</v>
      </c>
      <c r="D276" s="132" t="s">
        <v>95</v>
      </c>
      <c r="E276" s="134" t="s">
        <v>97</v>
      </c>
      <c r="F276" s="135" t="s">
        <v>532</v>
      </c>
      <c r="G276" s="126" t="s">
        <v>533</v>
      </c>
      <c r="H276" s="126" t="s">
        <v>534</v>
      </c>
      <c r="I276" s="136" t="s">
        <v>535</v>
      </c>
    </row>
    <row r="277" spans="1:10" ht="48" customHeight="1">
      <c r="A277" s="65" t="str">
        <f>'HECVAT - Full | Vendor Response'!A273</f>
        <v>PCID-01</v>
      </c>
      <c r="B277" s="65" t="str">
        <f>'HECVAT - Full | Vendor Response'!B273</f>
        <v>Do your systems or products store, process, or transmit cardholder (payment/credit/debt card) data?</v>
      </c>
      <c r="C277" s="125">
        <f>'HECVAT - Full | Vendor Response'!C273</f>
        <v>0</v>
      </c>
      <c r="D277" s="131">
        <f>'HECVAT - Full | Vendor Response'!D273</f>
        <v>0</v>
      </c>
      <c r="E277" s="143" t="s">
        <v>115</v>
      </c>
      <c r="F277" s="199" t="str">
        <f>VLOOKUP($A277,Questions!B$3:T$256,12,FALSE)</f>
        <v>Yes</v>
      </c>
      <c r="G277" s="205"/>
      <c r="H277" s="200">
        <f>VLOOKUP(A277,Questions!B$25:T$295,16,FALSE)</f>
        <v>20</v>
      </c>
      <c r="I277" s="206"/>
    </row>
    <row r="278" spans="1:10" ht="48" customHeight="1">
      <c r="A278" s="65" t="str">
        <f>'HECVAT - Full | Vendor Response'!A274</f>
        <v>PCID-02</v>
      </c>
      <c r="B278" s="65" t="str">
        <f>'HECVAT - Full | Vendor Response'!B274</f>
        <v>Are you compliant with the Payment Card Industry Data Security Standard (PCI DSS)?</v>
      </c>
      <c r="C278" s="125">
        <f>'HECVAT - Full | Vendor Response'!C274</f>
        <v>0</v>
      </c>
      <c r="D278" s="131">
        <f>'HECVAT - Full | Vendor Response'!D274</f>
        <v>0</v>
      </c>
      <c r="E278" s="143" t="s">
        <v>115</v>
      </c>
      <c r="F278" s="199" t="str">
        <f>VLOOKUP($A278,Questions!B$3:T$256,12,FALSE)</f>
        <v>Yes</v>
      </c>
      <c r="G278" s="205"/>
      <c r="H278" s="200">
        <f>VLOOKUP(A278,Questions!B$25:T$295,16,FALSE)</f>
        <v>20</v>
      </c>
      <c r="I278" s="206"/>
    </row>
    <row r="279" spans="1:10" ht="48" customHeight="1">
      <c r="A279" s="65" t="str">
        <f>'HECVAT - Full | Vendor Response'!A275</f>
        <v>PCID-03</v>
      </c>
      <c r="B279" s="65" t="str">
        <f>'HECVAT - Full | Vendor Response'!B275</f>
        <v>Do you have a current, executed within the past year, Attestation of Compliance (AoC) or Report on Compliance (RoC)?</v>
      </c>
      <c r="C279" s="125">
        <f>'HECVAT - Full | Vendor Response'!C275</f>
        <v>0</v>
      </c>
      <c r="D279" s="131">
        <f>'HECVAT - Full | Vendor Response'!D275</f>
        <v>0</v>
      </c>
      <c r="E279" s="143" t="s">
        <v>115</v>
      </c>
      <c r="F279" s="199" t="str">
        <f>VLOOKUP($A279,Questions!B$3:T$256,12,FALSE)</f>
        <v>Yes</v>
      </c>
      <c r="G279" s="205"/>
      <c r="H279" s="200">
        <f>VLOOKUP(A279,Questions!B$25:T$295,16,FALSE)</f>
        <v>25</v>
      </c>
      <c r="I279" s="206"/>
    </row>
    <row r="280" spans="1:10" ht="48" customHeight="1">
      <c r="A280" s="65" t="str">
        <f>'HECVAT - Full | Vendor Response'!A276</f>
        <v>PCID-04</v>
      </c>
      <c r="B280" s="65" t="str">
        <f>'HECVAT - Full | Vendor Response'!B276</f>
        <v>Are you classified as a service provider?</v>
      </c>
      <c r="C280" s="125">
        <f>'HECVAT - Full | Vendor Response'!C276</f>
        <v>0</v>
      </c>
      <c r="D280" s="131">
        <f>'HECVAT - Full | Vendor Response'!D276</f>
        <v>0</v>
      </c>
      <c r="E280" s="143" t="s">
        <v>115</v>
      </c>
      <c r="F280" s="199" t="str">
        <f>VLOOKUP($A280,Questions!B$3:T$256,12,FALSE)</f>
        <v>Yes</v>
      </c>
      <c r="G280" s="205"/>
      <c r="H280" s="200">
        <f>VLOOKUP(A280,Questions!B$25:T$295,16,FALSE)</f>
        <v>20</v>
      </c>
      <c r="I280" s="206"/>
    </row>
    <row r="281" spans="1:10" ht="48" customHeight="1">
      <c r="A281" s="65" t="str">
        <f>'HECVAT - Full | Vendor Response'!A277</f>
        <v>PCID-05</v>
      </c>
      <c r="B281" s="65" t="str">
        <f>'HECVAT - Full | Vendor Response'!B277</f>
        <v xml:space="preserve">Are you on the list of VISA approved service providers? </v>
      </c>
      <c r="C281" s="125">
        <f>'HECVAT - Full | Vendor Response'!C277</f>
        <v>0</v>
      </c>
      <c r="D281" s="131">
        <f>'HECVAT - Full | Vendor Response'!D277</f>
        <v>0</v>
      </c>
      <c r="E281" s="143" t="s">
        <v>115</v>
      </c>
      <c r="F281" s="199" t="str">
        <f>VLOOKUP($A281,Questions!B$3:T$256,12,FALSE)</f>
        <v>Yes</v>
      </c>
      <c r="G281" s="205"/>
      <c r="H281" s="200">
        <f>VLOOKUP(A281,Questions!B$25:T$295,16,FALSE)</f>
        <v>20</v>
      </c>
      <c r="I281" s="206"/>
    </row>
    <row r="282" spans="1:10" ht="48" customHeight="1">
      <c r="A282" s="124" t="str">
        <f>'HECVAT - Full | Vendor Response'!A278</f>
        <v>PCID-06</v>
      </c>
      <c r="B282" s="124" t="str">
        <f>'HECVAT - Full | Vendor Response'!B278</f>
        <v>Are you classified as a merchant? If so, what level (1, 2, 3, 4)?</v>
      </c>
      <c r="C282" s="317">
        <f>'HECVAT - Full | Vendor Response'!C278</f>
        <v>0</v>
      </c>
      <c r="D282" s="318"/>
      <c r="E282" s="143" t="s">
        <v>115</v>
      </c>
      <c r="F282" s="201" t="s">
        <v>536</v>
      </c>
      <c r="G282" s="205"/>
      <c r="H282" s="202">
        <f>VLOOKUP(A282,Questions!B$25:T$295,16,FALSE)</f>
        <v>20</v>
      </c>
      <c r="I282" s="206"/>
    </row>
    <row r="283" spans="1:10" ht="48" customHeight="1">
      <c r="A283" s="124" t="str">
        <f>'HECVAT - Full | Vendor Response'!A279</f>
        <v>PCID-07</v>
      </c>
      <c r="B283" s="124" t="str">
        <f>'HECVAT - Full | Vendor Response'!B279</f>
        <v>Describe the architecture employed by the system to verify and authorize credit card transactions.</v>
      </c>
      <c r="C283" s="317">
        <f>'HECVAT - Full | Vendor Response'!C279</f>
        <v>0</v>
      </c>
      <c r="D283" s="318"/>
      <c r="E283" s="143" t="s">
        <v>115</v>
      </c>
      <c r="F283" s="201" t="s">
        <v>536</v>
      </c>
      <c r="G283" s="205"/>
      <c r="H283" s="202">
        <f>VLOOKUP(A283,Questions!B$25:T$295,16,FALSE)</f>
        <v>10</v>
      </c>
      <c r="I283" s="206"/>
    </row>
    <row r="284" spans="1:10" ht="48" customHeight="1">
      <c r="A284" s="124" t="str">
        <f>'HECVAT - Full | Vendor Response'!A280</f>
        <v>PCID-08</v>
      </c>
      <c r="B284" s="124" t="str">
        <f>'HECVAT - Full | Vendor Response'!B280</f>
        <v xml:space="preserve">What payment processors/gateways does the system support? </v>
      </c>
      <c r="C284" s="317">
        <f>'HECVAT - Full | Vendor Response'!C280</f>
        <v>0</v>
      </c>
      <c r="D284" s="318"/>
      <c r="E284" s="143" t="s">
        <v>115</v>
      </c>
      <c r="F284" s="201" t="s">
        <v>536</v>
      </c>
      <c r="G284" s="205"/>
      <c r="H284" s="202">
        <f>VLOOKUP(A284,Questions!B$25:T$295,16,FALSE)</f>
        <v>10</v>
      </c>
      <c r="I284" s="206"/>
    </row>
    <row r="285" spans="1:10" ht="48" customHeight="1">
      <c r="A285" s="65" t="str">
        <f>'HECVAT - Full | Vendor Response'!A281</f>
        <v>PCID-09</v>
      </c>
      <c r="B285" s="65" t="str">
        <f>'HECVAT - Full | Vendor Response'!B281</f>
        <v>Can the application be installed in a PCI DSS–compliant manner ?</v>
      </c>
      <c r="C285" s="125">
        <f>'HECVAT - Full | Vendor Response'!C281</f>
        <v>0</v>
      </c>
      <c r="D285" s="131">
        <f>'HECVAT - Full | Vendor Response'!D281</f>
        <v>0</v>
      </c>
      <c r="E285" s="143" t="s">
        <v>115</v>
      </c>
      <c r="F285" s="201" t="str">
        <f>VLOOKUP($A285,Questions!B$3:T$256,12,FALSE)</f>
        <v>Yes</v>
      </c>
      <c r="G285" s="205"/>
      <c r="H285" s="202">
        <f>VLOOKUP(A285,Questions!B$25:T$295,16,FALSE)</f>
        <v>10</v>
      </c>
      <c r="I285" s="206"/>
    </row>
    <row r="286" spans="1:10" ht="48" customHeight="1">
      <c r="A286" s="65" t="str">
        <f>'HECVAT - Full | Vendor Response'!A282</f>
        <v>PCID-10</v>
      </c>
      <c r="B286" s="65" t="str">
        <f>'HECVAT - Full | Vendor Response'!B282</f>
        <v xml:space="preserve">Is the application listed as an approved Payment Application Data Security Standard (PA-DSS) application? </v>
      </c>
      <c r="C286" s="125">
        <f>'HECVAT - Full | Vendor Response'!C282</f>
        <v>0</v>
      </c>
      <c r="D286" s="131">
        <f>'HECVAT - Full | Vendor Response'!D282</f>
        <v>0</v>
      </c>
      <c r="E286" s="143" t="s">
        <v>115</v>
      </c>
      <c r="F286" s="201" t="str">
        <f>VLOOKUP($A286,Questions!B$3:T$256,12,FALSE)</f>
        <v>No</v>
      </c>
      <c r="G286" s="205"/>
      <c r="H286" s="202">
        <f>VLOOKUP(A286,Questions!B$25:T$295,16,FALSE)</f>
        <v>25</v>
      </c>
      <c r="I286" s="206"/>
    </row>
    <row r="287" spans="1:10" ht="48" customHeight="1">
      <c r="A287" s="65" t="str">
        <f>'HECVAT - Full | Vendor Response'!A283</f>
        <v>PCID-11</v>
      </c>
      <c r="B287" s="65" t="str">
        <f>'HECVAT - Full | Vendor Response'!B283</f>
        <v>Does the system or products use a third party to collect, store, process, or transmit cardholder (payment/credit/debt card) data?</v>
      </c>
      <c r="C287" s="125">
        <f>'HECVAT - Full | Vendor Response'!C283</f>
        <v>0</v>
      </c>
      <c r="D287" s="131">
        <f>'HECVAT - Full | Vendor Response'!D283</f>
        <v>0</v>
      </c>
      <c r="E287" s="143" t="s">
        <v>115</v>
      </c>
      <c r="F287" s="201" t="str">
        <f>VLOOKUP($A287,Questions!B$3:T$256,12,FALSE)</f>
        <v>No</v>
      </c>
      <c r="G287" s="205"/>
      <c r="H287" s="202">
        <f>VLOOKUP(A287,Questions!B$25:T$295,16,FALSE)</f>
        <v>25</v>
      </c>
      <c r="I287" s="206"/>
    </row>
    <row r="288" spans="1:10" ht="48" customHeight="1" thickBot="1">
      <c r="A288" s="124" t="str">
        <f>'HECVAT - Full | Vendor Response'!A284</f>
        <v>PCID-12</v>
      </c>
      <c r="B288" s="124" t="str">
        <f>'HECVAT - Full | Vendor Response'!B284</f>
        <v xml:space="preserve">Include documentation describing the systems' abilities to comply with the PCI DSS and any features or capabilities of the system that must be added or changed in order to operate in compliance with the standards. </v>
      </c>
      <c r="C288" s="317">
        <f>'HECVAT - Full | Vendor Response'!C284</f>
        <v>0</v>
      </c>
      <c r="D288" s="318"/>
      <c r="E288" s="145" t="s">
        <v>115</v>
      </c>
      <c r="F288" s="203" t="s">
        <v>536</v>
      </c>
      <c r="G288" s="205"/>
      <c r="H288" s="204">
        <f>VLOOKUP(A288,Questions!B$25:T$295,16,FALSE)</f>
        <v>15</v>
      </c>
      <c r="I288" s="206"/>
      <c r="J288" s="240" t="s">
        <v>91</v>
      </c>
    </row>
    <row r="289" spans="1:5">
      <c r="A289" s="240" t="s">
        <v>24</v>
      </c>
      <c r="C289" s="98"/>
      <c r="D289" s="98"/>
      <c r="E289" s="98"/>
    </row>
    <row r="291" spans="1:5" ht="17.100000000000001" hidden="1">
      <c r="E291" s="63" t="s">
        <v>115</v>
      </c>
    </row>
  </sheetData>
  <mergeCells count="61">
    <mergeCell ref="E29:F29"/>
    <mergeCell ref="E30:F30"/>
    <mergeCell ref="E16:F16"/>
    <mergeCell ref="E21:F21"/>
    <mergeCell ref="E22:F22"/>
    <mergeCell ref="E25:F25"/>
    <mergeCell ref="E26:F26"/>
    <mergeCell ref="A3:I3"/>
    <mergeCell ref="A2:H2"/>
    <mergeCell ref="B7:C7"/>
    <mergeCell ref="B6:C6"/>
    <mergeCell ref="B8:C8"/>
    <mergeCell ref="A4:I4"/>
    <mergeCell ref="A5:I5"/>
    <mergeCell ref="G6:I6"/>
    <mergeCell ref="G7:I7"/>
    <mergeCell ref="G8:I8"/>
    <mergeCell ref="G9:I9"/>
    <mergeCell ref="E14:F14"/>
    <mergeCell ref="E23:F23"/>
    <mergeCell ref="E24:F24"/>
    <mergeCell ref="E15:F15"/>
    <mergeCell ref="E17:F17"/>
    <mergeCell ref="E18:F18"/>
    <mergeCell ref="E31:F31"/>
    <mergeCell ref="E13:F13"/>
    <mergeCell ref="C196:D196"/>
    <mergeCell ref="A12:C12"/>
    <mergeCell ref="C68:D68"/>
    <mergeCell ref="C69:D69"/>
    <mergeCell ref="F36:I36"/>
    <mergeCell ref="C39:D39"/>
    <mergeCell ref="E19:F19"/>
    <mergeCell ref="E20:F20"/>
    <mergeCell ref="E32:F32"/>
    <mergeCell ref="E33:F33"/>
    <mergeCell ref="E34:F34"/>
    <mergeCell ref="C43:D43"/>
    <mergeCell ref="E28:F28"/>
    <mergeCell ref="E27:F27"/>
    <mergeCell ref="B9:C9"/>
    <mergeCell ref="A36:D36"/>
    <mergeCell ref="C188:D188"/>
    <mergeCell ref="A38:B38"/>
    <mergeCell ref="A44:B44"/>
    <mergeCell ref="A11:B11"/>
    <mergeCell ref="C283:D283"/>
    <mergeCell ref="C284:D284"/>
    <mergeCell ref="C288:D288"/>
    <mergeCell ref="A211:B211"/>
    <mergeCell ref="A56:B56"/>
    <mergeCell ref="A128:B128"/>
    <mergeCell ref="C282:D282"/>
    <mergeCell ref="C116:D116"/>
    <mergeCell ref="A169:B169"/>
    <mergeCell ref="A187:B187"/>
    <mergeCell ref="C115:D115"/>
    <mergeCell ref="A66:B66"/>
    <mergeCell ref="A72:B72"/>
    <mergeCell ref="A82:B82"/>
    <mergeCell ref="C244:D244"/>
  </mergeCells>
  <conditionalFormatting sqref="G14">
    <cfRule type="dataBar" priority="36">
      <dataBar>
        <cfvo type="num" val="0"/>
        <cfvo type="num" val="1"/>
        <color rgb="FF638EC6"/>
      </dataBar>
      <extLst>
        <ext xmlns:x14="http://schemas.microsoft.com/office/spreadsheetml/2009/9/main" uri="{B025F937-C7B1-47D3-B67F-A62EFF666E3E}">
          <x14:id>{9F790BD4-183E-4119-9436-A01EA1594D8C}</x14:id>
        </ext>
      </extLst>
    </cfRule>
  </conditionalFormatting>
  <conditionalFormatting sqref="G15:G23">
    <cfRule type="dataBar" priority="27">
      <dataBar>
        <cfvo type="num" val="0"/>
        <cfvo type="num" val="1"/>
        <color rgb="FF638EC6"/>
      </dataBar>
      <extLst>
        <ext xmlns:x14="http://schemas.microsoft.com/office/spreadsheetml/2009/9/main" uri="{B025F937-C7B1-47D3-B67F-A62EFF666E3E}">
          <x14:id>{A280AE77-B966-4601-A0A9-608CEBA57142}</x14:id>
        </ext>
      </extLst>
    </cfRule>
  </conditionalFormatting>
  <conditionalFormatting sqref="G24:G27">
    <cfRule type="dataBar" priority="26">
      <dataBar>
        <cfvo type="num" val="0"/>
        <cfvo type="num" val="1"/>
        <color rgb="FF638EC6"/>
      </dataBar>
      <extLst>
        <ext xmlns:x14="http://schemas.microsoft.com/office/spreadsheetml/2009/9/main" uri="{B025F937-C7B1-47D3-B67F-A62EFF666E3E}">
          <x14:id>{6FB108EB-1255-4BA4-896D-28323D780216}</x14:id>
        </ext>
      </extLst>
    </cfRule>
  </conditionalFormatting>
  <conditionalFormatting sqref="G28">
    <cfRule type="dataBar" priority="25">
      <dataBar>
        <cfvo type="num" val="0"/>
        <cfvo type="num" val="1"/>
        <color rgb="FF638EC6"/>
      </dataBar>
      <extLst>
        <ext xmlns:x14="http://schemas.microsoft.com/office/spreadsheetml/2009/9/main" uri="{B025F937-C7B1-47D3-B67F-A62EFF666E3E}">
          <x14:id>{61EF2B7C-82E6-4BA3-9164-42512B8564C0}</x14:id>
        </ext>
      </extLst>
    </cfRule>
  </conditionalFormatting>
  <conditionalFormatting sqref="G29">
    <cfRule type="dataBar" priority="24">
      <dataBar>
        <cfvo type="num" val="0"/>
        <cfvo type="num" val="1"/>
        <color rgb="FF638EC6"/>
      </dataBar>
      <extLst>
        <ext xmlns:x14="http://schemas.microsoft.com/office/spreadsheetml/2009/9/main" uri="{B025F937-C7B1-47D3-B67F-A62EFF666E3E}">
          <x14:id>{B96DDA50-C8DE-4885-8DB8-4738F673A312}</x14:id>
        </ext>
      </extLst>
    </cfRule>
  </conditionalFormatting>
  <conditionalFormatting sqref="G30">
    <cfRule type="dataBar" priority="23">
      <dataBar>
        <cfvo type="num" val="0"/>
        <cfvo type="num" val="1"/>
        <color rgb="FF638EC6"/>
      </dataBar>
      <extLst>
        <ext xmlns:x14="http://schemas.microsoft.com/office/spreadsheetml/2009/9/main" uri="{B025F937-C7B1-47D3-B67F-A62EFF666E3E}">
          <x14:id>{F9CE7CCA-8CC7-43E0-A872-0AB561892638}</x14:id>
        </ext>
      </extLst>
    </cfRule>
  </conditionalFormatting>
  <conditionalFormatting sqref="G31">
    <cfRule type="dataBar" priority="22">
      <dataBar>
        <cfvo type="num" val="0"/>
        <cfvo type="num" val="1"/>
        <color rgb="FF638EC6"/>
      </dataBar>
      <extLst>
        <ext xmlns:x14="http://schemas.microsoft.com/office/spreadsheetml/2009/9/main" uri="{B025F937-C7B1-47D3-B67F-A62EFF666E3E}">
          <x14:id>{B79EE5BF-6AAB-49E0-9D31-51B128B2B97D}</x14:id>
        </ext>
      </extLst>
    </cfRule>
  </conditionalFormatting>
  <conditionalFormatting sqref="G32">
    <cfRule type="dataBar" priority="21">
      <dataBar>
        <cfvo type="num" val="0"/>
        <cfvo type="num" val="1"/>
        <color rgb="FF638EC6"/>
      </dataBar>
      <extLst>
        <ext xmlns:x14="http://schemas.microsoft.com/office/spreadsheetml/2009/9/main" uri="{B025F937-C7B1-47D3-B67F-A62EFF666E3E}">
          <x14:id>{8908BCCD-78F9-4DC8-AF66-2A22D3B12D8C}</x14:id>
        </ext>
      </extLst>
    </cfRule>
  </conditionalFormatting>
  <conditionalFormatting sqref="G33:G34">
    <cfRule type="dataBar" priority="35">
      <dataBar>
        <cfvo type="num" val="0"/>
        <cfvo type="num" val="1"/>
        <color rgb="FF638EC6"/>
      </dataBar>
      <extLst>
        <ext xmlns:x14="http://schemas.microsoft.com/office/spreadsheetml/2009/9/main" uri="{B025F937-C7B1-47D3-B67F-A62EFF666E3E}">
          <x14:id>{DEDB6CB6-F46C-4E16-9A05-AB63190D1DA2}</x14:id>
        </ext>
      </extLst>
    </cfRule>
  </conditionalFormatting>
  <pageMargins left="0.7" right="0.7" top="0.75" bottom="0.75" header="0.3" footer="0.3"/>
  <pageSetup orientation="portrait" verticalDpi="300" r:id="rId1"/>
  <extLst>
    <ext xmlns:x14="http://schemas.microsoft.com/office/spreadsheetml/2009/9/main" uri="{78C0D931-6437-407d-A8EE-F0AAD7539E65}">
      <x14:conditionalFormattings>
        <x14:conditionalFormatting xmlns:xm="http://schemas.microsoft.com/office/excel/2006/main">
          <x14:cfRule type="dataBar" id="{9F790BD4-183E-4119-9436-A01EA1594D8C}">
            <x14:dataBar minLength="0" maxLength="100" gradient="0" direction="leftToRight" axisPosition="none">
              <x14:cfvo type="num">
                <xm:f>0</xm:f>
              </x14:cfvo>
              <x14:cfvo type="num">
                <xm:f>1</xm:f>
              </x14:cfvo>
              <x14:negativeFillColor rgb="FFFF0000"/>
            </x14:dataBar>
          </x14:cfRule>
          <xm:sqref>G14</xm:sqref>
        </x14:conditionalFormatting>
        <x14:conditionalFormatting xmlns:xm="http://schemas.microsoft.com/office/excel/2006/main">
          <x14:cfRule type="dataBar" id="{A280AE77-B966-4601-A0A9-608CEBA57142}">
            <x14:dataBar minLength="0" maxLength="100" gradient="0" direction="leftToRight" axisPosition="none">
              <x14:cfvo type="num">
                <xm:f>0</xm:f>
              </x14:cfvo>
              <x14:cfvo type="num">
                <xm:f>1</xm:f>
              </x14:cfvo>
              <x14:negativeFillColor rgb="FFFF0000"/>
            </x14:dataBar>
          </x14:cfRule>
          <xm:sqref>G15:G23</xm:sqref>
        </x14:conditionalFormatting>
        <x14:conditionalFormatting xmlns:xm="http://schemas.microsoft.com/office/excel/2006/main">
          <x14:cfRule type="dataBar" id="{6FB108EB-1255-4BA4-896D-28323D780216}">
            <x14:dataBar minLength="0" maxLength="100" gradient="0" direction="leftToRight" axisPosition="none">
              <x14:cfvo type="num">
                <xm:f>0</xm:f>
              </x14:cfvo>
              <x14:cfvo type="num">
                <xm:f>1</xm:f>
              </x14:cfvo>
              <x14:negativeFillColor rgb="FFFF0000"/>
            </x14:dataBar>
          </x14:cfRule>
          <xm:sqref>G24:G27</xm:sqref>
        </x14:conditionalFormatting>
        <x14:conditionalFormatting xmlns:xm="http://schemas.microsoft.com/office/excel/2006/main">
          <x14:cfRule type="dataBar" id="{61EF2B7C-82E6-4BA3-9164-42512B8564C0}">
            <x14:dataBar minLength="0" maxLength="100" gradient="0" direction="leftToRight" axisPosition="none">
              <x14:cfvo type="num">
                <xm:f>0</xm:f>
              </x14:cfvo>
              <x14:cfvo type="num">
                <xm:f>1</xm:f>
              </x14:cfvo>
              <x14:negativeFillColor rgb="FFFF0000"/>
            </x14:dataBar>
          </x14:cfRule>
          <xm:sqref>G28</xm:sqref>
        </x14:conditionalFormatting>
        <x14:conditionalFormatting xmlns:xm="http://schemas.microsoft.com/office/excel/2006/main">
          <x14:cfRule type="dataBar" id="{B96DDA50-C8DE-4885-8DB8-4738F673A312}">
            <x14:dataBar minLength="0" maxLength="100" gradient="0" direction="leftToRight" axisPosition="none">
              <x14:cfvo type="num">
                <xm:f>0</xm:f>
              </x14:cfvo>
              <x14:cfvo type="num">
                <xm:f>1</xm:f>
              </x14:cfvo>
              <x14:negativeFillColor rgb="FFFF0000"/>
            </x14:dataBar>
          </x14:cfRule>
          <xm:sqref>G29</xm:sqref>
        </x14:conditionalFormatting>
        <x14:conditionalFormatting xmlns:xm="http://schemas.microsoft.com/office/excel/2006/main">
          <x14:cfRule type="dataBar" id="{F9CE7CCA-8CC7-43E0-A872-0AB561892638}">
            <x14:dataBar minLength="0" maxLength="100" gradient="0" direction="leftToRight" axisPosition="none">
              <x14:cfvo type="num">
                <xm:f>0</xm:f>
              </x14:cfvo>
              <x14:cfvo type="num">
                <xm:f>1</xm:f>
              </x14:cfvo>
              <x14:negativeFillColor rgb="FFFF0000"/>
            </x14:dataBar>
          </x14:cfRule>
          <xm:sqref>G30</xm:sqref>
        </x14:conditionalFormatting>
        <x14:conditionalFormatting xmlns:xm="http://schemas.microsoft.com/office/excel/2006/main">
          <x14:cfRule type="dataBar" id="{B79EE5BF-6AAB-49E0-9D31-51B128B2B97D}">
            <x14:dataBar minLength="0" maxLength="100" gradient="0" direction="leftToRight" axisPosition="none">
              <x14:cfvo type="num">
                <xm:f>0</xm:f>
              </x14:cfvo>
              <x14:cfvo type="num">
                <xm:f>1</xm:f>
              </x14:cfvo>
              <x14:negativeFillColor rgb="FFFF0000"/>
            </x14:dataBar>
          </x14:cfRule>
          <xm:sqref>G31</xm:sqref>
        </x14:conditionalFormatting>
        <x14:conditionalFormatting xmlns:xm="http://schemas.microsoft.com/office/excel/2006/main">
          <x14:cfRule type="dataBar" id="{8908BCCD-78F9-4DC8-AF66-2A22D3B12D8C}">
            <x14:dataBar minLength="0" maxLength="100" gradient="0" direction="leftToRight" axisPosition="none">
              <x14:cfvo type="num">
                <xm:f>0</xm:f>
              </x14:cfvo>
              <x14:cfvo type="num">
                <xm:f>1</xm:f>
              </x14:cfvo>
              <x14:negativeFillColor rgb="FFFF0000"/>
            </x14:dataBar>
          </x14:cfRule>
          <xm:sqref>G32</xm:sqref>
        </x14:conditionalFormatting>
        <x14:conditionalFormatting xmlns:xm="http://schemas.microsoft.com/office/excel/2006/main">
          <x14:cfRule type="dataBar" id="{DEDB6CB6-F46C-4E16-9A05-AB63190D1DA2}">
            <x14:dataBar minLength="0" maxLength="100" gradient="0" direction="leftToRight" axisPosition="none">
              <x14:cfvo type="num">
                <xm:f>0</xm:f>
              </x14:cfvo>
              <x14:cfvo type="num">
                <xm:f>1</xm:f>
              </x14:cfvo>
              <x14:negativeFillColor rgb="FFFF0000"/>
            </x14:dataBar>
          </x14:cfRule>
          <xm:sqref>G33:G34</xm:sqref>
        </x14:conditionalFormatting>
        <x14:conditionalFormatting xmlns:xm="http://schemas.microsoft.com/office/excel/2006/main">
          <x14:cfRule type="expression" priority="17" id="{C6F8D7F5-F618-41E8-9C21-F5B227784D29}">
            <xm:f>'HECVAT - Full | Vendor Response'!$C$28="No"</xm:f>
            <x14:dxf>
              <font>
                <color theme="0"/>
              </font>
            </x14:dxf>
          </x14:cfRule>
          <xm:sqref>C17:D17 G17</xm:sqref>
        </x14:conditionalFormatting>
        <x14:conditionalFormatting xmlns:xm="http://schemas.microsoft.com/office/excel/2006/main">
          <x14:cfRule type="expression" priority="15" id="{18C058B5-9D1E-435F-BB82-302D48CB10C3}">
            <xm:f>'HECVAT - Full | Vendor Response'!$C$32="No"</xm:f>
            <x14:dxf>
              <font>
                <color theme="0"/>
              </font>
            </x14:dxf>
          </x14:cfRule>
          <xm:sqref>C18:D18 G18</xm:sqref>
        </x14:conditionalFormatting>
        <x14:conditionalFormatting xmlns:xm="http://schemas.microsoft.com/office/excel/2006/main">
          <x14:cfRule type="expression" priority="16" id="{A7B90583-6F4C-4325-96C1-3245AF5D5983}">
            <xm:f>'HECVAT - Full | Vendor Response'!$C$29="No"</xm:f>
            <x14:dxf>
              <font>
                <color theme="0"/>
              </font>
            </x14:dxf>
          </x14:cfRule>
          <xm:sqref>C21:D21 G21</xm:sqref>
        </x14:conditionalFormatting>
        <x14:conditionalFormatting xmlns:xm="http://schemas.microsoft.com/office/excel/2006/main">
          <x14:cfRule type="expression" priority="14" id="{786F2F09-2EA2-4B1B-8AD2-5748D7642098}">
            <xm:f>'HECVAT - Full | Vendor Response'!$C$30="No"</xm:f>
            <x14:dxf>
              <font>
                <color theme="0"/>
              </font>
            </x14:dxf>
          </x14:cfRule>
          <xm:sqref>C25:D25 G25</xm:sqref>
        </x14:conditionalFormatting>
        <x14:conditionalFormatting xmlns:xm="http://schemas.microsoft.com/office/excel/2006/main">
          <x14:cfRule type="expression" priority="19" id="{026AB8C8-BF04-4CE1-B0BB-400C1D161844}">
            <xm:f>'HECVAT - Full | Vendor Response'!$C$27="No"</xm:f>
            <x14:dxf>
              <font>
                <color theme="0"/>
              </font>
            </x14:dxf>
          </x14:cfRule>
          <xm:sqref>C31:D31 G31</xm:sqref>
        </x14:conditionalFormatting>
        <x14:conditionalFormatting xmlns:xm="http://schemas.microsoft.com/office/excel/2006/main">
          <x14:cfRule type="expression" priority="18" id="{36E41B77-E98A-40EC-A64C-7CDAF966CBA1}">
            <xm:f>'HECVAT - Full | Vendor Response'!$C$31="No"</xm:f>
            <x14:dxf>
              <font>
                <color theme="0"/>
              </font>
            </x14:dxf>
          </x14:cfRule>
          <xm:sqref>C32:D32 G32</xm:sqref>
        </x14:conditionalFormatting>
        <x14:conditionalFormatting xmlns:xm="http://schemas.microsoft.com/office/excel/2006/main">
          <x14:cfRule type="expression" priority="20" id="{9C4F4BDC-5853-4208-9C91-6F6ED2071713}">
            <xm:f>VLOOKUP($A98,Questions!$B$18:$L$309,10,FALSE)=0</xm:f>
            <x14:dxf>
              <font>
                <strike/>
                <color theme="2" tint="-0.499984740745262"/>
              </font>
            </x14:dxf>
          </x14:cfRule>
          <xm:sqref>G98:H98 A98:D109 G99:I114 A110:E114 A115:I116 I118:I127 I129:I143 I145:I168 I188:I198 I200:I210 I212:I227 I229:I232 I234:I238 I240:I245 I247:I275 I277:I288</xm:sqref>
        </x14:conditionalFormatting>
        <x14:conditionalFormatting xmlns:xm="http://schemas.microsoft.com/office/excel/2006/main">
          <x14:cfRule type="expression" priority="1" id="{22A6C7DE-D31F-4862-B317-DC6789A0FE1E}">
            <xm:f>VLOOKUP($A170,Questions!$B$18:$L$309,10,TRUE)=0</xm:f>
            <x14:dxf>
              <font>
                <strike/>
                <color theme="2" tint="-0.499984740745262"/>
              </font>
              <fill>
                <patternFill>
                  <bgColor theme="2"/>
                </patternFill>
              </fill>
            </x14:dxf>
          </x14:cfRule>
          <xm:sqref>G170:I176 A170:D186 G178:I180 G182:I186 A282:C284 F282:F284 H282:H284 A288:C288 F288 H288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Values!$A$4:$A$5</xm:f>
          </x14:formula1>
          <xm:sqref>G39:G43 G57:G65 G73:G81 G200:G210 G83:G96 G118:G127 G129:G143 G145:G168 G170:G186 G188:G198 G67:G71 G212:G227 G229:G232 G234:G238 G240:G245 G247:G275 G277:G288 G45:G55 G100:G116</xm:sqref>
        </x14:dataValidation>
        <x14:dataValidation type="list" allowBlank="1" showInputMessage="1" showErrorMessage="1" xr:uid="{00000000-0002-0000-0400-000001000000}">
          <x14:formula1>
            <xm:f>Values!$A$42:$A$48</xm:f>
          </x14:formula1>
          <xm:sqref>I39:I43 I57:I65 I73:I81 I98:I116 I83:I96 I118:I127 I129:I143 I145:I168 I170:I186 I188:I198 I67:I71 I212:I227 I229:I232 I234:I238 I240:I245 I247:I275 I277:I288 I45:I55 I200:I210</xm:sqref>
        </x14:dataValidation>
        <x14:dataValidation type="list" allowBlank="1" showInputMessage="1" showErrorMessage="1" xr:uid="{00000000-0002-0000-0400-000002000000}">
          <x14:formula1>
            <xm:f>Values!$A$60:$A$66</xm:f>
          </x14:formula1>
          <xm:sqref>C11</xm:sqref>
        </x14:dataValidation>
        <x14:dataValidation type="list" allowBlank="1" showInputMessage="1" showErrorMessage="1" xr:uid="{FD77EAFD-93F6-43B0-A841-197740EE75E8}">
          <x14:formula1>
            <xm:f>Values!$C$26:$C$29</xm:f>
          </x14:formula1>
          <xm:sqref>G99</xm:sqref>
        </x14:dataValidation>
        <x14:dataValidation type="list" allowBlank="1" showInputMessage="1" showErrorMessage="1" xr:uid="{661DBD2C-E609-4306-A561-716BE5185A0C}">
          <x14:formula1>
            <xm:f>Values!$C$26:$C$27</xm:f>
          </x14:formula1>
          <xm:sqref>G98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E277"/>
  <sheetViews>
    <sheetView zoomScaleNormal="100" workbookViewId="0"/>
  </sheetViews>
  <sheetFormatPr defaultColWidth="0" defaultRowHeight="15.95" zeroHeight="1"/>
  <cols>
    <col min="1" max="1" width="11.09765625" customWidth="1"/>
    <col min="2" max="2" width="56.59765625" style="3" customWidth="1"/>
    <col min="3" max="3" width="40.59765625" style="17" customWidth="1"/>
    <col min="4" max="4" width="40.59765625" style="5" customWidth="1"/>
    <col min="5" max="5" width="6.59765625" customWidth="1"/>
    <col min="6" max="16384" width="6.59765625" hidden="1"/>
  </cols>
  <sheetData>
    <row r="1" spans="1:4">
      <c r="A1" s="238" t="s">
        <v>538</v>
      </c>
    </row>
    <row r="2" spans="1:4" ht="36" customHeight="1">
      <c r="A2" s="340" t="s">
        <v>539</v>
      </c>
      <c r="B2" s="340"/>
      <c r="C2" s="340"/>
      <c r="D2" s="340"/>
    </row>
    <row r="3" spans="1:4" ht="36" customHeight="1">
      <c r="A3" s="280" t="s">
        <v>540</v>
      </c>
      <c r="B3" s="280"/>
      <c r="C3" s="280"/>
      <c r="D3" s="280"/>
    </row>
    <row r="21" spans="1:5" ht="36" customHeight="1">
      <c r="A21" s="283" t="s">
        <v>92</v>
      </c>
      <c r="B21" s="283"/>
      <c r="C21" s="18"/>
      <c r="D21" s="19"/>
    </row>
    <row r="22" spans="1:5" ht="186" customHeight="1">
      <c r="A22" s="284" t="s">
        <v>541</v>
      </c>
      <c r="B22" s="284"/>
      <c r="C22" s="284"/>
      <c r="D22" s="284"/>
    </row>
    <row r="23" spans="1:5" ht="37.5" customHeight="1">
      <c r="A23" s="283" t="s">
        <v>33</v>
      </c>
      <c r="B23" s="283"/>
      <c r="C23" s="18" t="s">
        <v>542</v>
      </c>
      <c r="D23" s="18" t="s">
        <v>543</v>
      </c>
    </row>
    <row r="24" spans="1:5" ht="56.25" customHeight="1">
      <c r="A24" s="284" t="s">
        <v>544</v>
      </c>
      <c r="B24" s="284"/>
      <c r="C24" s="284"/>
      <c r="D24" s="284"/>
    </row>
    <row r="25" spans="1:5" ht="60" customHeight="1">
      <c r="A25" s="23" t="s">
        <v>99</v>
      </c>
      <c r="B25" s="23" t="str">
        <f>VLOOKUP($A25,Questions!$B$3:$I$256,2,FALSE)</f>
        <v>Does your product process protected health information (PHI) or any data covered by the Health Insurance Portability and Accountability Act?</v>
      </c>
      <c r="C25" s="23" t="str">
        <f>VLOOKUP($A25,Questions!$B$3:$I$256,7,FALSE)</f>
        <v>This qualifier determines the presence of PHI in the solution and sets the HIPAA section as required appropriately.</v>
      </c>
      <c r="D25" s="23" t="str">
        <f>VLOOKUP($A25,Questions!$B$3:$I$256,8,FALSE)</f>
        <v>Reference the HIPAA section for follow-up review.</v>
      </c>
    </row>
    <row r="26" spans="1:5" ht="82.5" customHeight="1">
      <c r="A26" s="23" t="s">
        <v>101</v>
      </c>
      <c r="B26" s="23" t="str">
        <f>VLOOKUP($A26,Questions!$B$3:$I$256,2,FALSE)</f>
        <v>Will institutional data be shared with or hosted by any third parties? (Any entity not wholly owned by your company is considered a third-party.)</v>
      </c>
      <c r="C26" s="23" t="str">
        <f>VLOOKUP($A26,Questions!$B$3:$I$256,7,FALSE)</f>
        <v>Vendors oftentimes use other vendors to supplement and/or host their infrastructures, and it is important to know what, if any, institutional data is shared with fourth-parties. Responses to this qualifier set the response requirement for the Third Parties section.</v>
      </c>
      <c r="D26" s="23" t="str">
        <f>VLOOKUP($A26,Questions!$B$3:$I$256,8,FALSE)</f>
        <v>Reference the Third Parties section for follow-up review.</v>
      </c>
    </row>
    <row r="27" spans="1:5" ht="84" customHeight="1">
      <c r="A27" s="23" t="s">
        <v>104</v>
      </c>
      <c r="B27" s="23" t="str">
        <f>VLOOKUP($A27,Questions!$B$3:$I$256,2,FALSE)</f>
        <v>Do you have a well-documented Business Continuity Plan (BCP) that is tested annually?</v>
      </c>
      <c r="C27" s="23" t="str">
        <f>VLOOKUP($A27,Questions!$B$3:$I$256,7,FALSE)</f>
        <v>This qualifier determines the existence of a complete, fully populated BCP, maintained by the vendor, and sets the Business Continuity Plan section as required appropriately.</v>
      </c>
      <c r="D27" s="23" t="str">
        <f>VLOOKUP($A27,Questions!$B$3:$I$256,8,FALSE)</f>
        <v>Reference the Business Continuity Plan section for follow-up review.</v>
      </c>
    </row>
    <row r="28" spans="1:5" ht="84" customHeight="1">
      <c r="A28" s="23" t="s">
        <v>106</v>
      </c>
      <c r="B28" s="23" t="str">
        <f>VLOOKUP($A28,Questions!$B$3:$I$256,2,FALSE)</f>
        <v>Do you have a well-documented Disaster Recovery Plan (DRP) that is tested annually?</v>
      </c>
      <c r="C28" s="23" t="str">
        <f>VLOOKUP($A28,Questions!$B$3:$I$256,7,FALSE)</f>
        <v>This qualifier determines the existence of a complete, fully populated DRP, maintained by the vendor, and sets the Disaster Recovery Plan section as required appropriately.</v>
      </c>
      <c r="D28" s="23" t="str">
        <f>VLOOKUP($A28,Questions!$B$3:$I$256,8,FALSE)</f>
        <v>Reference the Disaster Recovery Plan section for follow-up review.</v>
      </c>
    </row>
    <row r="29" spans="1:5" ht="84" customHeight="1">
      <c r="A29" s="23" t="s">
        <v>108</v>
      </c>
      <c r="B29" s="23" t="str">
        <f>VLOOKUP($A29,Questions!$B$3:$I$256,2,FALSE)</f>
        <v>Is the vended product designed to process or store credit card information?</v>
      </c>
      <c r="C29" s="23" t="str">
        <f>VLOOKUP($A29,Questions!$B$3:$I$256,7,FALSE)</f>
        <v>This qualifier determines the presence of PCI DSS in the solution and sets the PCI DSS section as required appropriately.</v>
      </c>
      <c r="D29" s="23" t="str">
        <f>VLOOKUP($A29,Questions!$B$3:$I$256,8,FALSE)</f>
        <v>Reference the PCI DSS section for follow-up review.</v>
      </c>
    </row>
    <row r="30" spans="1:5" ht="108" customHeight="1">
      <c r="A30" s="23" t="s">
        <v>109</v>
      </c>
      <c r="B30" s="23" t="str">
        <f>VLOOKUP($A30,Questions!$B$3:$I$256,2,FALSE)</f>
        <v>Does your company provide professional services pertaining to this product?</v>
      </c>
      <c r="C30" s="23" t="str">
        <f>VLOOKUP($A30,Questions!$B$3:$I$256,7,FALSE)</f>
        <v>When consultants are given access to a system containing institutional data, the "sharing" of data is not in the same context as traditional data sharing (i.e., hosting, etc.) and thus, many of the HECVAT questions do not apply. When consultants have access to a system (onsite of via remote affiliate-type accounts), the Consulting section is most relevant.</v>
      </c>
      <c r="D30" s="23" t="str">
        <f>VLOOKUP($A30,Questions!$B$3:$I$256,8,FALSE)</f>
        <v>Reference the Consulting section for follow-up review.</v>
      </c>
    </row>
    <row r="31" spans="1:5" ht="112.5" customHeight="1">
      <c r="A31" s="23" t="s">
        <v>110</v>
      </c>
      <c r="B31" s="23" t="str">
        <f>VLOOKUP($A31,Questions!$B$3:$I$256,2,FALSE)</f>
        <v>Select your hosting option.</v>
      </c>
      <c r="C31" s="23" t="str">
        <f>VLOOKUP($A31,Questions!$B$3:$I$256,7,FALSE)</f>
        <v>Understanding the hosting environment may reveal infrastructure risks that may not be apparent by other means and provides context to the responses provided throughout this HECVAT.</v>
      </c>
      <c r="D31" s="23" t="str">
        <f>VLOOKUP($A31,Questions!$B$3:$I$256,8,FALSE)</f>
        <v>Follow-up inquiries for hosting options will be institution/implementation specific.</v>
      </c>
      <c r="E31" s="238" t="s">
        <v>91</v>
      </c>
    </row>
    <row r="32" spans="1:5" ht="36" customHeight="1">
      <c r="A32" s="283" t="s">
        <v>37</v>
      </c>
      <c r="B32" s="283"/>
      <c r="C32" s="18" t="str">
        <f>$C$23</f>
        <v>Reason for Question</v>
      </c>
      <c r="D32" s="18" t="str">
        <f>$D$23</f>
        <v>Follow-up Inquiries/Responses</v>
      </c>
    </row>
    <row r="33" spans="1:5" ht="72" customHeight="1">
      <c r="A33" s="23" t="s">
        <v>112</v>
      </c>
      <c r="B33" s="23" t="str">
        <f>VLOOKUP($A33,Questions!$B$3:$I$256,2,FALSE)</f>
        <v>Describe your organization’s business background and ownership structure, including all parent and subsidiary relationships.</v>
      </c>
      <c r="C33" s="23" t="str">
        <f>VLOOKUP($A33,Questions!$B$3:$I$256,7,FALSE)</f>
        <v>Defining scale of company (support, resources, skillsets), general information about the organization that may be concerning.</v>
      </c>
      <c r="D33" s="23" t="str">
        <f>VLOOKUP($A33,Questions!$B$3:$I$256,8,FALSE)</f>
        <v>Follow-up responses to this one are normally unique to their response. Vague answers here usually result in some footprinting of a vendor to determine their "reputation."</v>
      </c>
    </row>
    <row r="34" spans="1:5" ht="84" customHeight="1">
      <c r="A34" s="23" t="s">
        <v>114</v>
      </c>
      <c r="B34" s="23" t="str">
        <f>VLOOKUP($A34,Questions!$B$3:$I$256,2,FALSE)</f>
        <v>Have you had an unplanned disruption to this product/service in the past 12 months?</v>
      </c>
      <c r="C34" s="23" t="str">
        <f>VLOOKUP($A34,Questions!$B$3:$I$256,7,FALSE)</f>
        <v>We want transparency from the vendor, and an honest answer to this question, regardless of the response, is a good step in building trust.</v>
      </c>
      <c r="D34" s="23" t="str">
        <f>VLOOKUP($A34,Questions!$B$3:$I$256,8,FALSE)</f>
        <v>If a vendor says "No," it is taken at face value. If your organization is capable of conducting reconnaissance, it is encouraged. If a vendor has experienced a breach, evaluate the circumstances of the incident and what the vendor has done in response to the breach.</v>
      </c>
    </row>
    <row r="35" spans="1:5" ht="120">
      <c r="A35" s="23" t="s">
        <v>116</v>
      </c>
      <c r="B35" s="23" t="str">
        <f>VLOOKUP($A35,Questions!$B$3:$I$256,2,FALSE)</f>
        <v>Do you have a dedicated Information Security staff or office?</v>
      </c>
      <c r="C35" s="23" t="str">
        <f>VLOOKUP($A35,Questions!$B$3:$I$256,7,FALSE)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35" s="23" t="str">
        <f>VLOOKUP($A35,Questions!$B$3:$I$256,8,FALSE)</f>
        <v>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v>
      </c>
    </row>
    <row r="36" spans="1:5" ht="108" customHeight="1">
      <c r="A36" s="23" t="s">
        <v>118</v>
      </c>
      <c r="B36" s="23" t="str">
        <f>VLOOKUP($A36,Questions!$B$3:$I$256,2,FALSE)</f>
        <v>Do you have a dedicated Software and System Development team(s)? (e.g., Customer Support, Implementation, Product Management, etc.)</v>
      </c>
      <c r="C36" s="23" t="str">
        <f>VLOOKUP($A36,Questions!$B$3:$I$256,7,FALSE)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36" s="23" t="str">
        <f>VLOOKUP($A36,Questions!$B$3:$I$256,8,FALSE)</f>
        <v>Follow-up inquiries for vendor team strategies will be unique to your institution and may depend on the underlying infrastructures needed to support a system for your specific use case.</v>
      </c>
    </row>
    <row r="37" spans="1:5" ht="124.5" customHeight="1">
      <c r="A37" s="23" t="s">
        <v>120</v>
      </c>
      <c r="B37" s="23" t="str">
        <f>VLOOKUP($A37,Questions!$B$3:$I$256,2,FALSE)</f>
        <v>Use this area to share information about your environment that will assist those who are assessing your company data security program.</v>
      </c>
      <c r="C37" s="23" t="str">
        <f>VLOOKUP($A37,Questions!$B$3:$I$256,7,FALSE)</f>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v>
      </c>
      <c r="D37" s="23" t="str">
        <f>VLOOKUP($A37,Questions!$B$3:$I$256,8,FALSE)</f>
        <v>This is a freebie to help the vendor state their case. If a vendor does not add anything here (or it is just sales stuff), we can assume it was filled out by a sales engineer and questions will be evaluated with higher scrutiny.</v>
      </c>
      <c r="E37" s="238" t="s">
        <v>91</v>
      </c>
    </row>
    <row r="38" spans="1:5" ht="36" customHeight="1">
      <c r="A38" s="283" t="s">
        <v>35</v>
      </c>
      <c r="B38" s="283"/>
      <c r="C38" s="18" t="str">
        <f>$C$23</f>
        <v>Reason for Question</v>
      </c>
      <c r="D38" s="18" t="str">
        <f>$D$23</f>
        <v>Follow-up Inquiries/Responses</v>
      </c>
    </row>
    <row r="39" spans="1:5" ht="48" customHeight="1">
      <c r="A39" s="23" t="s">
        <v>122</v>
      </c>
      <c r="B39" s="23" t="str">
        <f>VLOOKUP($A39,Questions!$B$3:$I$256,2,FALSE)</f>
        <v>Have you undergone a SSAE 18/SOC 2 audit?</v>
      </c>
      <c r="C39" s="23" t="str">
        <f>VLOOKUP($A39,Questions!$B$3:$I$256,7,FALSE)</f>
        <v>Standard documentation, relevant to institutions requiring a vendor to undergo SSAE 18 audits.</v>
      </c>
      <c r="D39" s="23" t="str">
        <f>VLOOKUP($A39,Questions!$B$3:$I$256,8,FALSE)</f>
        <v>Follow-up inquiries for SSAE 18 content will be institution/implementation specific.</v>
      </c>
    </row>
    <row r="40" spans="1:5" ht="64.5" customHeight="1">
      <c r="A40" s="23" t="s">
        <v>124</v>
      </c>
      <c r="B40" s="23" t="str">
        <f>VLOOKUP($A40,Questions!$B$3:$I$256,2,FALSE)</f>
        <v>Have you completed the Cloud Security Alliance (CSA) self assessment or CAIQ?</v>
      </c>
      <c r="C40" s="23" t="str">
        <f>VLOOKUP($A40,Questions!$B$3:$I$256,7,FALSE)</f>
        <v>Many vendors have populated a CAIQ or at least a self-assessment. Although lacking in some areas important to higher education, these documents are useful for supplemental assessment.</v>
      </c>
      <c r="D40" s="23" t="str">
        <f>VLOOKUP($A40,Questions!$B$3:$I$256,8,FALSE)</f>
        <v>Follow-up inquiries for CSA content will be institution/implementation specific.</v>
      </c>
    </row>
    <row r="41" spans="1:5" ht="64.5" customHeight="1">
      <c r="A41" s="23" t="s">
        <v>126</v>
      </c>
      <c r="B41" s="23" t="str">
        <f>VLOOKUP($A41,Questions!$B$3:$I$256,2,FALSE)</f>
        <v>Have you received the Cloud Security Alliance STAR certification?</v>
      </c>
      <c r="C41" s="23" t="str">
        <f>VLOOKUP($A41,Questions!$B$3:$I$256,7,FALSE)</f>
        <v>If a vendor is STAR certified, vendor responses can theoretically be more trusted since CSA has verified their responses. Trust, but verify for yourself, as needed.</v>
      </c>
      <c r="D41" s="23" t="str">
        <f>VLOOKUP($A41,Questions!$B$3:$I$256,8,FALSE)</f>
        <v>If STAR certification is important to your institution you may have specific follow-up details for documentation purposes.</v>
      </c>
    </row>
    <row r="42" spans="1:5" ht="112.5" customHeight="1">
      <c r="A42" s="23" t="s">
        <v>128</v>
      </c>
      <c r="B42" s="23" t="str">
        <f>VLOOKUP($A42,Questions!$B$3:$I$256,2,FALSE)</f>
        <v>Do you conform with a specific industry standard security framework? (e.g., NIST Cybersecurity Framework, CIS Controls, ISO 27001, etc.)</v>
      </c>
      <c r="C42" s="23" t="str">
        <f>VLOOKUP($A42,Questions!$B$3:$I$256,7,FALSE)</f>
        <v>The details of the standard are not the focus here; it is the fact that a vendor builds their environment around a standard and that they continually evaluate and assess their security programs.</v>
      </c>
      <c r="D42" s="23" t="str">
        <f>VLOOKUP($A42,Questions!$B$3:$I$256,8,FALSE)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row>
    <row r="43" spans="1:5" ht="48" customHeight="1">
      <c r="A43" s="23" t="s">
        <v>130</v>
      </c>
      <c r="B43" s="23" t="str">
        <f>VLOOKUP($A43,Questions!$B$3:$I$256,2,FALSE)</f>
        <v>Can the systems that hold the institution's data be compliant with NIST SP 800-171 and/or CMMC Level 2 standards?</v>
      </c>
      <c r="C43" s="23" t="str">
        <f>VLOOKUP($A43,Questions!$B$3:$I$256,7,FALSE)</f>
        <v>For institutions that collaborate with the United States government, FISMA compliance may be required.</v>
      </c>
      <c r="D43" s="23" t="str">
        <f>VLOOKUP($A43,Questions!$B$3:$I$256,8,FALSE)</f>
        <v>Follow-up inquiries for FISMA compliance will be institution/implementation specific.</v>
      </c>
    </row>
    <row r="44" spans="1:5" ht="96" customHeight="1">
      <c r="A44" s="23" t="s">
        <v>132</v>
      </c>
      <c r="B44" s="23" t="str">
        <f>VLOOKUP($A44,Questions!$B$3:$I$256,2,FALSE)</f>
        <v>Can you provide overall system and/or application architecture diagrams, including a full description of the data flow for all components of the system?</v>
      </c>
      <c r="C44" s="23" t="str">
        <f>VLOOKUP($A44,Questions!$B$3:$I$256,7,FALSE)</f>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v>
      </c>
      <c r="D44" s="23" t="str">
        <f>VLOOKUP($A44,Questions!$B$3:$I$256,8,FALSE)</f>
        <v>Inquire about any privacy language the vendor may have. It may not be ideal but there may be something available to assess or enough to have your legal counsel or policy/privacy professionals review.</v>
      </c>
    </row>
    <row r="45" spans="1:5" ht="96" customHeight="1">
      <c r="A45" s="23" t="s">
        <v>134</v>
      </c>
      <c r="B45" s="23" t="str">
        <f>VLOOKUP($A45,Questions!$B$3:$I$256,2,FALSE)</f>
        <v>Does your organization have a data privacy policy?</v>
      </c>
      <c r="C45" s="23" t="str">
        <f>VLOOKUP($A45,Questions!$B$3:$I$256,7,FALSE)</f>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v>
      </c>
      <c r="D45" s="23" t="str">
        <f>VLOOKUP($A45,Questions!$B$3:$I$256,8,FALSE)</f>
        <v>Inquire about any privacy language the vendor may have. It may not be ideal but there may be something available to assess or enough to have your legal counsel or policy/privacy professionals review.</v>
      </c>
    </row>
    <row r="46" spans="1:5" ht="120">
      <c r="A46" s="23" t="s">
        <v>135</v>
      </c>
      <c r="B46" s="23" t="str">
        <f>VLOOKUP($A46,Questions!$B$3:$I$256,2,FALSE)</f>
        <v>Do you have a documented, and currently implemented, employee onboarding and offboarding policy?</v>
      </c>
      <c r="C46" s="23" t="str">
        <f>VLOOKUP($A46,Questions!$B$3:$I$256,7,FALSE)</f>
        <v>Managing and protecting a vendor's assets through appropriate human resource management is of upmost importance. Knowing how roles and access controls are implemented (directed by policy) within a vendor's infrastructure during the onboarding and offboarding processes is indicative of how access control is regarded in other areas on the provider (vendor).</v>
      </c>
      <c r="D46" s="23" t="str">
        <f>VLOOKUP($A46,Questions!$B$3:$I$256,8,FALSE)</f>
        <v>Unsatisfactory answers should be met with questions about access control authority, roles and responsibilities (of access grantors), administrative privileges within the vendor's infrastructure(s), etc.</v>
      </c>
    </row>
    <row r="47" spans="1:5" ht="96" customHeight="1">
      <c r="A47" s="23" t="s">
        <v>137</v>
      </c>
      <c r="B47" s="23" t="str">
        <f>VLOOKUP($A47,Questions!$B$3:$I$256,2,FALSE)</f>
        <v>Do you have a documented change management process?</v>
      </c>
      <c r="C47" s="23" t="str">
        <f>VLOOKUP($A47,Questions!$B$3:$I$256,7,FALSE)</f>
        <v>The lack of a change management function is indicative of immature program processes. Answers to this question can provide insight into how well their responses (on the HECVAT) represent their actual environment(s).</v>
      </c>
      <c r="D47" s="23" t="str">
        <f>VLOOKUP($A47,Questions!$B$3:$I$256,8,FALSE)</f>
        <v>If a weak response is given to this answer, response scrutiny should be increased. Questions about configuration management, system authority, and documentation are appropriate.</v>
      </c>
    </row>
    <row r="48" spans="1:5" ht="156" customHeight="1">
      <c r="A48" s="23" t="s">
        <v>139</v>
      </c>
      <c r="B48" s="23" t="str">
        <f>VLOOKUP($A48,Questions!$B$3:$I$256,2,FALSE)</f>
        <v>Has a VPAT or ACR been created or updated for the product and version under consideration within the past year?</v>
      </c>
      <c r="C48" s="23" t="str">
        <f>VLOOKUP($A48,Questions!$B$3:$I$256,7,FALSE)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8" s="23" t="str">
        <f>VLOOKUP($A48,Questions!$B$3:$I$256,8,FALSE)</f>
        <v>Cross-reference Accessibility Conformance Reports (ACR) with any answers from ITAC-04 about product roadmaps for accessibility improvements.</v>
      </c>
    </row>
    <row r="49" spans="1:5" ht="120">
      <c r="A49" s="23" t="s">
        <v>141</v>
      </c>
      <c r="B49" s="23" t="str">
        <f>VLOOKUP($A49,Questions!$B$3:$I$256,2,FALSE)</f>
        <v>Do you have documentation to support the accessibility features of your product?</v>
      </c>
      <c r="C49" s="23" t="str">
        <f>VLOOKUP($A49,Questions!$B$3:$I$256,7,FALSE)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9" s="23" t="str">
        <f>VLOOKUP($A49,Questions!$B$3:$I$256,8,FALSE)</f>
        <v>In-development</v>
      </c>
      <c r="E49" s="242" t="s">
        <v>91</v>
      </c>
    </row>
    <row r="50" spans="1:5" ht="48" customHeight="1">
      <c r="A50" s="308" t="s">
        <v>143</v>
      </c>
      <c r="B50" s="309"/>
      <c r="C50" s="18" t="str">
        <f>$C$23</f>
        <v>Reason for Question</v>
      </c>
      <c r="D50" s="18" t="str">
        <f>$D$23</f>
        <v>Follow-up Inquiries/Responses</v>
      </c>
    </row>
    <row r="51" spans="1:5" ht="83.25" customHeight="1">
      <c r="A51" s="23" t="s">
        <v>144</v>
      </c>
      <c r="B51" s="23" t="str">
        <f>VLOOKUP($A51,Questions!$B$3:$I$256,2,FALSE)</f>
        <v>Has a third-party expert conducted an audit of the most recent version of your product?</v>
      </c>
      <c r="C51" s="23" t="str">
        <f>VLOOKUP($A51,Questions!$B$3:$I$256,7,FALSE)</f>
        <v>Many vendors rely on their internal product knowledge and history to complete accessibility self-assessments of their own product rather than utilizing up-to-date, validated testing. Use of an expert, external specialist provides a more robust assessment of the product.</v>
      </c>
      <c r="D51" s="23" t="str">
        <f>VLOOKUP($A51,Questions!$B$3:$I$256,8,FALSE)</f>
        <v>In-development</v>
      </c>
    </row>
    <row r="52" spans="1:5" ht="180">
      <c r="A52" s="23" t="s">
        <v>146</v>
      </c>
      <c r="B52" s="23" t="str">
        <f>VLOOKUP($A52,Questions!$B$3:$I$256,2,FALSE)</f>
        <v>Do you have a documented and implemented process for verifying accessibility conformance?</v>
      </c>
      <c r="C52" s="23" t="str">
        <f>VLOOKUP($A52,Questions!$B$3:$I$256,7,FALSE)</f>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v>
      </c>
      <c r="D52" s="23" t="str">
        <f>VLOOKUP($A52,Questions!$B$3:$I$256,8,FALSE)</f>
        <v>In-development</v>
      </c>
    </row>
    <row r="53" spans="1:5" ht="225">
      <c r="A53" s="23" t="s">
        <v>148</v>
      </c>
      <c r="B53" s="23" t="str">
        <f>VLOOKUP($A53,Questions!$B$3:$I$256,2,FALSE)</f>
        <v>Have you adopted a technical or legal standard of conformance for the product in question?</v>
      </c>
      <c r="C53" s="23" t="str">
        <f>VLOOKUP($A53,Questions!$B$3:$I$256,7,FALSE)</f>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v>
      </c>
      <c r="D53" s="23" t="str">
        <f>VLOOKUP($A53,Questions!$B$3:$I$256,8,FALSE)</f>
        <v>In-development</v>
      </c>
    </row>
    <row r="54" spans="1:5" ht="108" customHeight="1">
      <c r="A54" s="23" t="s">
        <v>150</v>
      </c>
      <c r="B54" s="23" t="str">
        <f>VLOOKUP($A54,Questions!$B$3:$I$256,2,FALSE)</f>
        <v>Can you provide a current, detailed accessibility roadmap with delivery timelines?</v>
      </c>
      <c r="C54" s="23" t="str">
        <f>VLOOKUP($A54,Questions!$B$3:$I$256,7,FALSE)</f>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v>
      </c>
      <c r="D54" s="23" t="str">
        <f>VLOOKUP($A54,Questions!$B$3:$I$256,8,FALSE)</f>
        <v>In-development</v>
      </c>
    </row>
    <row r="55" spans="1:5" ht="96" customHeight="1">
      <c r="A55" s="23" t="s">
        <v>152</v>
      </c>
      <c r="B55" s="23" t="str">
        <f>VLOOKUP($A55,Questions!$B$3:$I$256,2,FALSE)</f>
        <v>Do you expect your staff to maintain a current skill set in IT accessibility?</v>
      </c>
      <c r="C55" s="23" t="str">
        <f>VLOOKUP($A55,Questions!$B$3:$I$256,7,FALSE)</f>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v>
      </c>
      <c r="D55" s="23" t="str">
        <f>VLOOKUP($A55,Questions!$B$3:$I$256,8,FALSE)</f>
        <v>In-development</v>
      </c>
    </row>
    <row r="56" spans="1:5" ht="144" customHeight="1">
      <c r="A56" s="23" t="s">
        <v>154</v>
      </c>
      <c r="B56" s="23" t="str">
        <f>VLOOKUP($A56,Questions!$B$3:$I$256,2,FALSE)</f>
        <v>Do you have a documented and implemented process for reporting and tracking accessibility issues?</v>
      </c>
      <c r="C56" s="23">
        <f>VLOOKUP($A56,Questions!$B$3:$I$256,7,FALSE)</f>
        <v>0</v>
      </c>
      <c r="D56" s="23" t="str">
        <f>VLOOKUP($A56,Questions!$B$3:$I$256,8,FALSE)</f>
        <v>In-development</v>
      </c>
    </row>
    <row r="57" spans="1:5" ht="96" customHeight="1">
      <c r="A57" s="23" t="s">
        <v>156</v>
      </c>
      <c r="B57" s="23" t="str">
        <f>VLOOKUP($A57,Questions!$B$3:$I$256,2,FALSE)</f>
        <v>Do you have documented processes and procedures for implementing accessibility into your development lifecycle?</v>
      </c>
      <c r="C57" s="23" t="str">
        <f>VLOOKUP($A57,Questions!$B$3:$I$256,7,FALSE)</f>
        <v xml:space="preserve">This question is designed to understand how accessibility is included in new versions and features of products, particularly with vendors that implement Agile or similar methodologies where software is updated frequently and continuously.
</v>
      </c>
      <c r="D57" s="23" t="str">
        <f>VLOOKUP($A57,Questions!$B$3:$I$256,8,FALSE)</f>
        <v>In-development</v>
      </c>
    </row>
    <row r="58" spans="1:5" ht="72" customHeight="1">
      <c r="A58" s="23" t="s">
        <v>158</v>
      </c>
      <c r="B58" s="23" t="str">
        <f>VLOOKUP($A58,Questions!$B$3:$I$256,2,FALSE)</f>
        <v>Can all functions of the application or service be performed using only the keyboard?</v>
      </c>
      <c r="C58" s="23" t="str">
        <f>VLOOKUP($A58,Questions!$B$3:$I$256,7,FALSE)</f>
        <v>One critical accessibility requirement is the full use of a product using only the keyboard--no mouse or trackpad. This requirement is easy for a nontechnical or non-accessibility expert to understand and verify.</v>
      </c>
      <c r="D58" s="23" t="str">
        <f>VLOOKUP($A58,Questions!$B$3:$I$256,8,FALSE)</f>
        <v>In-development</v>
      </c>
    </row>
    <row r="59" spans="1:5" ht="175.5" customHeight="1">
      <c r="A59" s="23" t="s">
        <v>160</v>
      </c>
      <c r="B59" s="23" t="str">
        <f>VLOOKUP($A59,Questions!$B$3:$I$256,2,FALSE)</f>
        <v>Does your product rely on activating a special "accessibility mode," a "lite version," or accessing an alternate interface for accessibility purposes?</v>
      </c>
      <c r="C59" s="23" t="str">
        <f>VLOOKUP($A59,Questions!$B$3:$I$256,7,FALSE)</f>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v>
      </c>
      <c r="D59" s="23" t="str">
        <f>VLOOKUP($A59,Questions!$B$3:$I$256,8,FALSE)</f>
        <v>In-development</v>
      </c>
      <c r="E59" s="238" t="s">
        <v>91</v>
      </c>
    </row>
    <row r="60" spans="1:5" ht="36" customHeight="1">
      <c r="A60" s="283" t="str">
        <f>IF($C$27="No","Assessment of Third Parties - Optional based on QUALIFIER response.","Assessment of Third Parties")</f>
        <v>Assessment of Third Parties</v>
      </c>
      <c r="B60" s="283"/>
      <c r="C60" s="18" t="str">
        <f>$C$23</f>
        <v>Reason for Question</v>
      </c>
      <c r="D60" s="18" t="str">
        <f>$D$23</f>
        <v>Follow-up Inquiries/Responses</v>
      </c>
    </row>
    <row r="61" spans="1:5" ht="96" customHeight="1">
      <c r="A61" s="23" t="s">
        <v>162</v>
      </c>
      <c r="B61" s="23" t="str">
        <f>VLOOKUP($A61,Questions!$B$3:$I$256,2,FALSE)</f>
        <v>Do you perform security assessments of third-party companies with which you share data? (e.g., hosting providers, cloud services, PaaS, IaaS, SaaS)</v>
      </c>
      <c r="C61" s="23" t="str">
        <f>VLOOKUP($A61,Questions!$B$3:$I$256,7,FALSE)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61" s="23" t="str">
        <f>VLOOKUP($A61,Questions!$B$3:$I$256,8,FALSE)</f>
        <v>Follow up with a robust question set if the vendor cannot clearly state full control of the integrity of their system(s). Questions about administrator access on end-user devices and other maintenance and patching type questions are appropriate.</v>
      </c>
    </row>
    <row r="62" spans="1:5" ht="80.25" customHeight="1">
      <c r="A62" s="23" t="s">
        <v>164</v>
      </c>
      <c r="B62" s="23" t="str">
        <f>VLOOKUP($A62,Questions!$B$3:$I$256,2,FALSE)</f>
        <v>Provide a brief description for why each of these third parties will have access to institutional data.</v>
      </c>
      <c r="C62" s="23" t="str">
        <f>VLOOKUP($A62,Questions!$B$3:$I$256,7,FALSE)</f>
        <v>The sharing of institutional data to fourth-parties may increase the risk to the institutation and thus, we want to know who gets what data, when they get that data, and why they get that data.</v>
      </c>
      <c r="D62" s="23" t="str">
        <f>VLOOKUP($A62,Questions!$B$3:$I$256,8,FALSE)</f>
        <v>Follow-up inquiries concerning third-party data sharing will be institution/implementation specific.</v>
      </c>
    </row>
    <row r="63" spans="1:5" ht="80.25" customHeight="1">
      <c r="A63" s="23" t="s">
        <v>166</v>
      </c>
      <c r="B63" s="23" t="str">
        <f>VLOOKUP($A63,Questions!$B$3:$I$256,2,FALSE)</f>
        <v>What legal agreements (i.e., contracts) do you have in place with these third parties that address liability in the event of a data breach?</v>
      </c>
      <c r="C63" s="23" t="str">
        <f>VLOOKUP($A63,Questions!$B$3:$I$256,7,FALSE)</f>
        <v>Knowing the protections and legal agreements in place for third-party data sharing may assists analysts in determininng residual risk.</v>
      </c>
      <c r="D63" s="23" t="str">
        <f>VLOOKUP($A63,Questions!$B$3:$I$256,8,FALSE)</f>
        <v>Follow-up inquiries concerning legal agreements with third-parties will be institution/implementation specific.</v>
      </c>
    </row>
    <row r="64" spans="1:5" ht="112.5" customHeight="1">
      <c r="A64" s="23" t="s">
        <v>168</v>
      </c>
      <c r="B64" s="23" t="str">
        <f>VLOOKUP($A64,Questions!$B$3:$I$256,2,FALSE)</f>
        <v>Do you have an implemented third-party management strategy?</v>
      </c>
      <c r="C64" s="23" t="str">
        <f>VLOOKUP($A64,Questions!$B$3:$I$256,7,FALSE)</f>
        <v>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64" s="23" t="str">
        <f>VLOOKUP($A64,Questions!$B$3:$I$256,8,FALSE)</f>
        <v>If "No," inquire if there are plans to implement these processes. Ask the vendor to summarize their decision behind not scanning their assets for vulnerabilities. Be sure that the vendor answers for both systems AND applications. Do not let good practices in one overshadow deficiencies in the other.</v>
      </c>
    </row>
    <row r="65" spans="1:5" ht="112.5" customHeight="1">
      <c r="A65" s="23" t="s">
        <v>170</v>
      </c>
      <c r="B65" s="23" t="str">
        <f>VLOOKUP($A65,Questions!$B$3:$I$256,2,FALSE)</f>
        <v>Do you have a process and implemented procedures for managing your hardware supply chain? (e.g., telecommunications equipment, export licensing, computing devices)</v>
      </c>
      <c r="C65" s="23" t="str">
        <f>VLOOKUP($A65,Questions!$B$3:$I$256,7,FALSE)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65" s="23" t="str">
        <f>VLOOKUP($A65,Questions!$B$3:$I$256,8,FALSE)</f>
        <v>Follow-up inquiries concerning hardware supply chain will be institution/implementation specific.</v>
      </c>
      <c r="E65" s="238" t="s">
        <v>91</v>
      </c>
    </row>
    <row r="66" spans="1:5" ht="36" customHeight="1">
      <c r="A66" s="283" t="str">
        <f>IF($C$31="","Consulting",IF($C$31="Yes","Consulting - All questions after this section are OPTIONAL.","Consulting - Optional based on QUALIFIER response."))</f>
        <v>Consulting - Optional based on QUALIFIER response.</v>
      </c>
      <c r="B66" s="283"/>
      <c r="C66" s="18" t="str">
        <f>$C$23</f>
        <v>Reason for Question</v>
      </c>
      <c r="D66" s="18" t="str">
        <f>$D$23</f>
        <v>Follow-up Inquiries/Responses</v>
      </c>
    </row>
    <row r="67" spans="1:5" ht="36" customHeight="1">
      <c r="A67" s="23" t="str">
        <f>'HECVAT - Full | Vendor Response'!A69</f>
        <v>CONS-01</v>
      </c>
      <c r="B67" s="23" t="str">
        <f>VLOOKUP($A67,Questions!$B$3:$I$256,2,FALSE)</f>
        <v>Will the consulting take place on-premises?</v>
      </c>
      <c r="C67" s="23" t="str">
        <f>VLOOKUP($A67,Questions!$B$3:$I$256,7,FALSE)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67" s="23" t="str">
        <f>VLOOKUP($A67,Questions!$B$3:$I$256,8,FALSE)</f>
        <v>Follow-up inquiries will be institution/implementation specific.</v>
      </c>
    </row>
    <row r="68" spans="1:5" ht="36" customHeight="1">
      <c r="A68" s="23" t="str">
        <f>'HECVAT - Full | Vendor Response'!A70</f>
        <v>CONS-02</v>
      </c>
      <c r="B68" s="23" t="str">
        <f>VLOOKUP($A68,Questions!$B$3:$I$256,2,FALSE)</f>
        <v>Will the consultant require access to the institution's network resources?</v>
      </c>
      <c r="C68" s="23" t="str">
        <f>VLOOKUP($A68,Questions!$B$3:$I$256,7,FALSE)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68" s="23" t="str">
        <f>VLOOKUP($A68,Questions!$B$3:$I$256,8,FALSE)</f>
        <v>Follow-up inquiries will be institution/implementation specific.</v>
      </c>
    </row>
    <row r="69" spans="1:5" ht="36" customHeight="1">
      <c r="A69" s="23" t="str">
        <f>'HECVAT - Full | Vendor Response'!A71</f>
        <v>CONS-03</v>
      </c>
      <c r="B69" s="23" t="str">
        <f>VLOOKUP($A69,Questions!$B$3:$I$256,2,FALSE)</f>
        <v>Will the consultant require access to hardware in the institution's data centers?</v>
      </c>
      <c r="C69" s="23" t="str">
        <f>VLOOKUP($A69,Questions!$B$3:$I$256,7,FALSE)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69" s="23" t="str">
        <f>VLOOKUP($A69,Questions!$B$3:$I$256,8,FALSE)</f>
        <v>Follow-up inquiries will be institution/implementation specific.</v>
      </c>
    </row>
    <row r="70" spans="1:5" ht="36" customHeight="1">
      <c r="A70" s="23" t="str">
        <f>'HECVAT - Full | Vendor Response'!A72</f>
        <v>CONS-04</v>
      </c>
      <c r="B70" s="23" t="str">
        <f>VLOOKUP($A70,Questions!$B$3:$I$256,2,FALSE)</f>
        <v>Will the consultant require an account within the institution's domain (@*.edu)?</v>
      </c>
      <c r="C70" s="23" t="str">
        <f>VLOOKUP($A70,Questions!$B$3:$I$256,7,FALSE)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0" s="23" t="str">
        <f>VLOOKUP($A70,Questions!$B$3:$I$256,8,FALSE)</f>
        <v>Follow-up inquiries will be institution/implementation specific.</v>
      </c>
    </row>
    <row r="71" spans="1:5" ht="36" customHeight="1">
      <c r="A71" s="23" t="str">
        <f>'HECVAT - Full | Vendor Response'!A73</f>
        <v>CONS-05</v>
      </c>
      <c r="B71" s="23" t="str">
        <f>VLOOKUP($A71,Questions!$B$3:$I$256,2,FALSE)</f>
        <v>Has the consultant received training on (sensitive, HIPAA, PCI, etc.) data handling?</v>
      </c>
      <c r="C71" s="23" t="str">
        <f>VLOOKUP($A71,Questions!$B$3:$I$256,7,FALSE)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1" s="23" t="str">
        <f>VLOOKUP($A71,Questions!$B$3:$I$256,8,FALSE)</f>
        <v>Follow-up inquiries will be institution/implementation specific.</v>
      </c>
    </row>
    <row r="72" spans="1:5" ht="36" customHeight="1">
      <c r="A72" s="23" t="str">
        <f>'HECVAT - Full | Vendor Response'!A74</f>
        <v>CONS-06</v>
      </c>
      <c r="B72" s="23" t="str">
        <f>VLOOKUP($A72,Questions!$B$3:$I$256,2,FALSE)</f>
        <v>Will any data be transferred to the consultant's possession?</v>
      </c>
      <c r="C72" s="23" t="str">
        <f>VLOOKUP($A72,Questions!$B$3:$I$256,7,FALSE)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2" s="23" t="str">
        <f>VLOOKUP($A72,Questions!$B$3:$I$256,8,FALSE)</f>
        <v>Follow-up inquiries will be institution/implementation specific.</v>
      </c>
    </row>
    <row r="73" spans="1:5" s="1" customFormat="1" ht="36" customHeight="1">
      <c r="A73" s="23" t="str">
        <f>'HECVAT - Full | Vendor Response'!A75</f>
        <v>CONS-07</v>
      </c>
      <c r="B73" s="23" t="str">
        <f>VLOOKUP($A73,Questions!$B$3:$I$256,2,FALSE)</f>
        <v>Is it encrypted (at rest) while in the consultant's possession?</v>
      </c>
      <c r="C73" s="23" t="str">
        <f>VLOOKUP($A73,Questions!$B$3:$I$256,7,FALSE)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3" s="23" t="str">
        <f>VLOOKUP($A73,Questions!$B$3:$I$256,8,FALSE)</f>
        <v>Follow-up inquiries will be institution/implementation specific.</v>
      </c>
    </row>
    <row r="74" spans="1:5" ht="36" customHeight="1">
      <c r="A74" s="23" t="str">
        <f>'HECVAT - Full | Vendor Response'!A76</f>
        <v>CONS-08</v>
      </c>
      <c r="B74" s="23" t="str">
        <f>VLOOKUP($A74,Questions!$B$3:$I$256,2,FALSE)</f>
        <v>Will the consultant need remote access to the institution's network or systems?</v>
      </c>
      <c r="C74" s="23" t="str">
        <f>VLOOKUP($A74,Questions!$B$3:$I$256,7,FALSE)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4" s="23" t="str">
        <f>VLOOKUP($A74,Questions!$B$3:$I$256,8,FALSE)</f>
        <v>Follow-up inquiries will be institution/implementation specific.</v>
      </c>
    </row>
    <row r="75" spans="1:5" s="1" customFormat="1" ht="36" customHeight="1">
      <c r="A75" s="23" t="str">
        <f>'HECVAT - Full | Vendor Response'!A77</f>
        <v>CONS-09</v>
      </c>
      <c r="B75" s="23" t="str">
        <f>VLOOKUP($A75,Questions!$B$3:$I$256,2,FALSE)</f>
        <v>Can we restrict that access based on source IP address?</v>
      </c>
      <c r="C75" s="23" t="str">
        <f>VLOOKUP($A75,Questions!$B$3:$I$256,7,FALSE)</f>
        <v>Consultants are often used to implement, maintain, fix, and assessment technology environments. In these cases, third-party consultants have access to institutional data, and appropriate access, whether remote or onsite, must be protected during the consulting engagement.</v>
      </c>
      <c r="D75" s="23" t="str">
        <f>VLOOKUP($A75,Questions!$B$3:$I$256,8,FALSE)</f>
        <v>Follow-up inquiries will be institution/implementation specific.</v>
      </c>
      <c r="E75" s="243" t="s">
        <v>91</v>
      </c>
    </row>
    <row r="76" spans="1:5" ht="36" customHeight="1">
      <c r="A76" s="283" t="str">
        <f>IF($C$31="","Application/Service Security",IF($C$31="Yes","App/Service Security - Optional based on QUALIFIER response.","Application/Service Security"))</f>
        <v>Application/Service Security</v>
      </c>
      <c r="B76" s="283"/>
      <c r="C76" s="18" t="str">
        <f>$C$23</f>
        <v>Reason for Question</v>
      </c>
      <c r="D76" s="18" t="str">
        <f>$D$23</f>
        <v>Follow-up Inquiries/Responses</v>
      </c>
    </row>
    <row r="77" spans="1:5" ht="120">
      <c r="A77" s="23" t="str">
        <f>'HECVAT - Full | Vendor Response'!A79</f>
        <v>APPL-01</v>
      </c>
      <c r="B77" s="23" t="str">
        <f>VLOOKUP($A77,Questions!$B$3:$I$256,2,FALSE)</f>
        <v>Are access controls for institutional accounts based on structured rules, such as role-based access control (RBAC), attribute-based access control (ABAC), or policy-based access control (PBAC)?</v>
      </c>
      <c r="C77" s="23" t="str">
        <f>VLOOKUP($A77,Questions!$B$3:$I$256,7,FALSE)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v>
      </c>
      <c r="D77" s="23" t="str">
        <f>VLOOKUP($A77,Questions!$B$3:$I$256,8,FALSE)</f>
        <v>Ask the vendor to summarize the best practices to restrict/control the access given to the institution's end users without the use of RBAC. Make sure to understand the administrative requirements/overhead introduced in the vendor's environment.</v>
      </c>
    </row>
    <row r="78" spans="1:5" ht="112.5" customHeight="1">
      <c r="A78" s="23" t="str">
        <f>'HECVAT - Full | Vendor Response'!A80</f>
        <v>APPL-02</v>
      </c>
      <c r="B78" s="23" t="str">
        <f>VLOOKUP($A78,Questions!$B$3:$I$256,2,FALSE)</f>
        <v>Are access controls for staff within your organization based on structured rules, such as RBAC, ABAC, or PBAC?</v>
      </c>
      <c r="C78" s="23" t="str">
        <f>VLOOKUP($A78,Questions!$B$3:$I$256,7,FALSE)</f>
        <v>Managing a software/product/service may rely on various professionals to administer a system. This question is focused on how administration, and the segregation of functions, is implemented within the vendor's infrastructure.</v>
      </c>
      <c r="D78" s="23" t="str">
        <f>VLOOKUP($A78,Questions!$B$3:$I$256,8,FALSE)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row>
    <row r="79" spans="1:5" ht="112.5" customHeight="1">
      <c r="A79" s="23" t="str">
        <f>'HECVAT - Full | Vendor Response'!A81</f>
        <v>APPL-03</v>
      </c>
      <c r="B79" s="23" t="str">
        <f>VLOOKUP($A79,Questions!$B$3:$I$256,2,FALSE)</f>
        <v>Does the system provide data input validation and error messages?</v>
      </c>
      <c r="C79" s="23" t="str">
        <f>VLOOKUP($A79,Questions!$B$3:$I$256,7,FALSE)</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79" s="23" t="str">
        <f>VLOOKUP($A79,Questions!$B$3:$I$256,8,FALSE)</f>
        <v>Inquire about any planned improvements to these capabilities. Ask about their product(s) roadmap, and try to understand how they prioritize security concerns in their environment.</v>
      </c>
    </row>
    <row r="80" spans="1:5" ht="120">
      <c r="A80" s="23" t="str">
        <f>'HECVAT - Full | Vendor Response'!A82</f>
        <v>APPL-04</v>
      </c>
      <c r="B80" s="23" t="str">
        <f>VLOOKUP($A80,Questions!$B$3:$I$256,2,FALSE)</f>
        <v>Are you using a web application firewall (WAF)?</v>
      </c>
      <c r="C80" s="23" t="str">
        <f>VLOOKUP($A80,Questions!$B$3:$I$256,7,FALSE)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80" s="23" t="str">
        <f>VLOOKUP($A80,Questions!$B$3:$I$256,8,FALSE)</f>
        <v>If a vendors states that they outsource their code development and do not run a WAF, there is elevated reason for concern. Verify how code is tested, monitored, and controlled in production environments.</v>
      </c>
    </row>
    <row r="81" spans="1:5" ht="135">
      <c r="A81" s="23" t="str">
        <f>'HECVAT - Full | Vendor Response'!A83</f>
        <v>APPL-05</v>
      </c>
      <c r="B81" s="23" t="str">
        <f>VLOOKUP($A81,Questions!$B$3:$I$256,2,FALSE)</f>
        <v>Do you have a process and implemented procedures for managing your software supply chain (e.g., libraries, repositories, frameworks, etc.)</v>
      </c>
      <c r="C81" s="23" t="str">
        <f>VLOOKUP($A81,Questions!$B$3:$I$256,7,FALSE)</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81" s="23" t="str">
        <f>VLOOKUP($A81,Questions!$B$3:$I$256,8,FALSE)</f>
        <v>Follow-up inquiries concerning software supply chain will be institution/implementation specific.</v>
      </c>
    </row>
    <row r="82" spans="1:5" ht="136.5" customHeight="1">
      <c r="A82" s="23" t="str">
        <f>'HECVAT - Full | Vendor Response'!A84</f>
        <v>APPL-06</v>
      </c>
      <c r="B82" s="23" t="str">
        <f>VLOOKUP($A82,Questions!$B$3:$I$256,2,FALSE)</f>
        <v>Are only currently supported operating system(s), software, and libraries leveraged by the system(s)/application(s) that will have access to institution's data?</v>
      </c>
      <c r="C82" s="23" t="str">
        <f>VLOOKUP($A82,Questions!$B$3:$I$256,7,FALSE)</f>
        <v>Vendor responses to this question provide clarity on environment constraints that may exist and/or influence future development, configurations, infrastructure, etc. Although the vendor response may not directly affect end-users, the risks of the underlying infrastructure are better understood.</v>
      </c>
      <c r="D82" s="23" t="str">
        <f>VLOOKUP($A82,Questions!$B$3:$I$256,8,FALSE)</f>
        <v>Follow-up inquiries for operating systems leveraged by the vendor will be institution/implementation specific.</v>
      </c>
    </row>
    <row r="83" spans="1:5" s="1" customFormat="1" ht="91.5" customHeight="1">
      <c r="A83" s="23" t="str">
        <f>'HECVAT - Full | Vendor Response'!A85</f>
        <v>APPL-07</v>
      </c>
      <c r="B83" s="23" t="str">
        <f>VLOOKUP($A83,Questions!$B$3:$I$256,2,FALSE)</f>
        <v>If mobile, is the application available from a trusted source (e.g., App Store, Google Play Store)?</v>
      </c>
      <c r="C83" s="23" t="str">
        <f>VLOOKUP($A83,Questions!$B$3:$I$256,7,FALSE)</f>
        <v>Distributing application via known, moderately vetted application platform decreases the chances of malicious code distribution. Stand-alone deployments (nontrusted sources) should be looked at more closely.</v>
      </c>
      <c r="D83" s="23" t="str">
        <f>VLOOKUP($A83,Questions!$B$3:$I$256,8,FALSE)</f>
        <v>Ask the vendor why this deployment strategy is used. Ask if it is a restriction of the app store platform or some other environment restriction.</v>
      </c>
    </row>
    <row r="84" spans="1:5" ht="84" customHeight="1">
      <c r="A84" s="23" t="str">
        <f>'HECVAT - Full | Vendor Response'!A86</f>
        <v>APPL-08</v>
      </c>
      <c r="B84" s="23" t="str">
        <f>VLOOKUP($A84,Questions!$B$3:$I$256,2,FALSE)</f>
        <v>Does your application require access to location or GPS data?</v>
      </c>
      <c r="C84" s="23" t="str">
        <f>VLOOKUP($A84,Questions!$B$3:$I$256,7,FALSE)</f>
        <v>Sharing location data significantly increases risk factors for users.  It's important to understand if this is required.</v>
      </c>
      <c r="D84" s="23" t="str">
        <f>VLOOKUP($A84,Questions!$B$3:$I$256,8,FALSE)</f>
        <v xml:space="preserve">Ask the vendor about the need for this requirement, and understand any mitigation strategies that may be possible. </v>
      </c>
    </row>
    <row r="85" spans="1:5" ht="135">
      <c r="A85" s="23" t="str">
        <f>'HECVAT - Full | Vendor Response'!A87</f>
        <v>APPL-09</v>
      </c>
      <c r="B85" s="23" t="str">
        <f>VLOOKUP($A85,Questions!$B$3:$I$256,2,FALSE)</f>
        <v>Does your application provide separation of duties between security administration, system administration, and standard user functions?</v>
      </c>
      <c r="C85" s="23" t="str">
        <f>VLOOKUP($A85,Questions!$B$3:$I$256,7,FALSE)</f>
        <v>Managing a software/product/service may rely on various teams to administrate a system. In this question, it is security operations and systems administration. This question is focused on how system(s) administration, and the segregation of duties, are implemented in the vendor's organization, so that system administrators do not also have security responsibilities (e.g., monitoring, mitigating, reporting, etc.).</v>
      </c>
      <c r="D85" s="23" t="str">
        <f>VLOOKUP($A85,Questions!$B$3:$I$256,8,FALSE)</f>
        <v>Ask the vendor to summarize their best practices for securing their system(s) administratively without the use of RBAC. Make sure to understand the administrative requirements/overhead introduced in the vendor's environment.</v>
      </c>
    </row>
    <row r="86" spans="1:5" ht="54" customHeight="1">
      <c r="A86" s="23" t="str">
        <f>'HECVAT - Full | Vendor Response'!A88</f>
        <v>APPL-10</v>
      </c>
      <c r="B86" s="23" t="str">
        <f>VLOOKUP($A86,Questions!$B$3:$I$256,2,FALSE)</f>
        <v>Do you have a fully implemented policy or procedure that details how your employees obtain administrator access to institutional instance of the application?</v>
      </c>
      <c r="C86" s="23" t="str">
        <f>VLOOKUP($A86,Questions!$B$3:$I$256,7,FALSE)</f>
        <v>Protecting administrative accounts is crucial to maintaining system integrity in any environment. This question is targeting privilege creep and unmanaged privileged acccounts to determine if the vendor properly manages access control in their application/system environments.</v>
      </c>
      <c r="D86" s="23" t="str">
        <f>VLOOKUP($A86,Questions!$B$3:$I$256,8,FALSE)</f>
        <v xml:space="preserve">Ask the vendor to summarize their implemented policies and/or procedures  </v>
      </c>
      <c r="E86" s="238" t="s">
        <v>91</v>
      </c>
    </row>
    <row r="87" spans="1:5" ht="36" customHeight="1">
      <c r="A87" s="283" t="str">
        <f>IF($C$31="","Authentication, Authorization, and Accounting",IF($C$31="Yes","AAA - Optional based on QUALIFIER response.","Authentication, Authorization, and Accounting"))</f>
        <v>Authentication, Authorization, and Accounting</v>
      </c>
      <c r="B87" s="283"/>
      <c r="C87" s="18" t="str">
        <f>$C$23</f>
        <v>Reason for Question</v>
      </c>
      <c r="D87" s="18" t="str">
        <f>$D$23</f>
        <v>Follow-up Inquiries/Responses</v>
      </c>
    </row>
    <row r="88" spans="1:5" ht="112.5" customHeight="1">
      <c r="A88" s="23" t="str">
        <f>'HECVAT - Full | Vendor Response'!A94</f>
        <v>AAAI-01</v>
      </c>
      <c r="B88" s="23" t="str">
        <f>VLOOKUP($A88,Questions!$B$3:$I$256,2,FALSE)</f>
        <v>Does your solution support single sign-on (SSO) protocols for user and administrator authentication?</v>
      </c>
      <c r="C88" s="23" t="str">
        <f>VLOOKUP($A88,Questions!$B$3:$I$256,7,FALSE)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8" s="23" t="str">
        <f>VLOOKUP($A88,Questions!$B$3:$I$256,8,FALSE)</f>
        <v>Follow-up inquiries for IAM requirements will be institution/implementation specific.</v>
      </c>
    </row>
    <row r="89" spans="1:5" ht="72" customHeight="1">
      <c r="A89" s="23" t="str">
        <f>'HECVAT - Full | Vendor Response'!A95</f>
        <v>AAAI-02</v>
      </c>
      <c r="B89" s="23" t="str">
        <f>VLOOKUP($A89,Questions!$B$3:$I$256,2,FALSE)</f>
        <v>Does your solution support local authentication protocols for user and administrator authentication?</v>
      </c>
      <c r="C89" s="23" t="str">
        <f>VLOOKUP($A89,Questions!$B$3:$I$256,7,FALSE)</f>
        <v xml:space="preserve">The purpose of this question is understand the vendor's authentication infrastructure so that additional questions can be formulated for the institution's use case. </v>
      </c>
      <c r="D89" s="23" t="str">
        <f>VLOOKUP($A89,Questions!$B$3:$I$256,8,FALSE)</f>
        <v>The content of this response may or may not have value for the type of use case on the institution. Follow-up inquiries for authentication modes will be institution/implementation specific.</v>
      </c>
    </row>
    <row r="90" spans="1:5" ht="105">
      <c r="A90" s="23" t="str">
        <f>'HECVAT - Full | Vendor Response'!A96</f>
        <v>AAAI-03</v>
      </c>
      <c r="B90" s="23" t="str">
        <f>VLOOKUP($A90,Questions!$B$3:$I$256,2,FALSE)</f>
        <v>Can you enforce password/passphrase aging requirements?</v>
      </c>
      <c r="C90" s="23" t="str">
        <f>VLOOKUP($A90,Questions!$B$3:$I$256,7,FALSE)</f>
        <v>This question is primarily focused on account management capabilities that are built into a system. Although aging is not always required, a system that lacks commodity functionality may be lacking in other areas as well. Use the vendor's response to this question as a way to pivot to other questions, as needed.</v>
      </c>
      <c r="D90" s="23" t="str">
        <f>VLOOKUP($A90,Questions!$B$3:$I$256,8,FALSE)</f>
        <v>The value of this question depends on your institution's policy on passwords, its use of 2FA, or any number of factors. Follow-ups for this question are unique to the institution.</v>
      </c>
    </row>
    <row r="91" spans="1:5" ht="72" customHeight="1">
      <c r="A91" s="23" t="str">
        <f>'HECVAT - Full | Vendor Response'!A97</f>
        <v>AAAI-04</v>
      </c>
      <c r="B91" s="23" t="str">
        <f>VLOOKUP($A91,Questions!$B$3:$I$256,2,FALSE)</f>
        <v>Can you enforce password/passphrase complexity requirements (provided by the institution)?</v>
      </c>
      <c r="C91" s="23" t="str">
        <f>VLOOKUP($A91,Questions!$B$3:$I$256,7,FALSE)</f>
        <v>Many institutions have policy focused on passwords/passphrases, and this question confirms the capacity of a vendor's software/product/service to comply.</v>
      </c>
      <c r="D91" s="23" t="str">
        <f>VLOOKUP($A91,Questions!$B$3:$I$256,8,FALSE)</f>
        <v>Follow-up inquiries for password/passphrase complexity requirements will be institution/implementation specific.</v>
      </c>
    </row>
    <row r="92" spans="1:5" ht="112.5" customHeight="1">
      <c r="A92" s="23" t="str">
        <f>'HECVAT - Full | Vendor Response'!A98</f>
        <v>AAAI-05</v>
      </c>
      <c r="B92" s="23" t="str">
        <f>VLOOKUP($A92,Questions!$B$3:$I$256,2,FALSE)</f>
        <v>Does the system have password complexity or length limitations and/or restrictions?</v>
      </c>
      <c r="C92" s="23" t="str">
        <f>VLOOKUP($A92,Questions!$B$3:$I$256,7,FALSE)</f>
        <v>Many institutions have policy focused on passwords/passphrases, and this question confirms the capacity of a vendor's software/product/service to comply.</v>
      </c>
      <c r="D92" s="23" t="str">
        <f>VLOOKUP($A92,Questions!$B$3:$I$256,8,FALSE)</f>
        <v>Follow-up inquiries for password/passphrase limitations and/or restrictions will be institution/implementation specific.</v>
      </c>
    </row>
    <row r="93" spans="1:5" ht="72" customHeight="1">
      <c r="A93" s="23" t="str">
        <f>'HECVAT - Full | Vendor Response'!A99</f>
        <v>AAAI-06</v>
      </c>
      <c r="B93" s="23" t="str">
        <f>VLOOKUP($A93,Questions!$B$3:$I$256,2,FALSE)</f>
        <v>Do you have documented password/passphrase reset procedures that are currently implemented in the system and/or customer support?</v>
      </c>
      <c r="C93" s="23" t="str">
        <f>VLOOKUP($A93,Questions!$B$3:$I$256,7,FALSE)</f>
        <v xml:space="preserve">Account management can be a time-consuming part of an information system. Account reset capabilities, built into a system, can reduce burden on institutional support services. </v>
      </c>
      <c r="D93" s="23" t="str">
        <f>VLOOKUP($A93,Questions!$B$3:$I$256,8,FALSE)</f>
        <v>Ask the vendor how end users will be supported. Ask for training documentation or knowledgebase content. Confirm vendor and institution responsibilities in this support area (and others).</v>
      </c>
    </row>
    <row r="94" spans="1:5" ht="83.25" customHeight="1">
      <c r="A94" s="23" t="str">
        <f>'HECVAT - Full | Vendor Response'!A100</f>
        <v>AAAI-07</v>
      </c>
      <c r="B94" s="23" t="str">
        <f>VLOOKUP($A94,Questions!$B$3:$I$256,2,FALSE)</f>
        <v>Does your organization participate in InCommon or another eduGAIN-affiliated trust federation?</v>
      </c>
      <c r="C94" s="23" t="str">
        <f>VLOOKUP($A94,Questions!$B$3:$I$256,7,FALSE)</f>
        <v>This question defines the vendor's scope of federated identity practices and their willingness to embrace higher education requirements.</v>
      </c>
      <c r="D94" s="23" t="str">
        <f>VLOOKUP($A94,Questions!$B$3:$I$256,8,FALSE)</f>
        <v>If a vendor indicates that a system is stand-alone and cannot integrate with community standards, follow up with maturity questions and ask about other commodity type functions or other system requirements your institution may have.</v>
      </c>
    </row>
    <row r="95" spans="1:5" ht="105">
      <c r="A95" s="23" t="str">
        <f>'HECVAT - Full | Vendor Response'!A101</f>
        <v>AAAI-08</v>
      </c>
      <c r="B95" s="23" t="str">
        <f>VLOOKUP($A95,Questions!$B$3:$I$256,2,FALSE)</f>
        <v>Does your application support integration with other authentication and authorization systems?</v>
      </c>
      <c r="C95" s="23" t="str">
        <f>VLOOKUP($A95,Questions!$B$3:$I$256,7,FALSE)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5" s="23" t="str">
        <f>VLOOKUP($A95,Questions!$B$3:$I$256,8,FALSE)</f>
        <v>If a vendor indicates that a system is stand-alone and cannot integrate with the institution's infrastructure, follow up with maturity questions and ask about other commodity type functions or other system requirements your institution may have.</v>
      </c>
    </row>
    <row r="96" spans="1:5" ht="112.5" customHeight="1">
      <c r="A96" s="23" t="str">
        <f>'HECVAT - Full | Vendor Response'!A102</f>
        <v>AAAI-09</v>
      </c>
      <c r="B96" s="23" t="str">
        <f>VLOOKUP($A96,Questions!$B$3:$I$256,2,FALSE)</f>
        <v>Does your solution support any of the following web SSO standards? [e.g., SAML2 (with redirect flow), OIDC, CAS, or other]</v>
      </c>
      <c r="C96" s="23" t="str">
        <f>VLOOKUP($A96,Questions!$B$3:$I$256,7,FALSE)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6" s="23" t="str">
        <f>VLOOKUP($A96,Questions!$B$3:$I$256,8,FALSE)</f>
        <v>Follow-up inquiries for IAM requirements will be institution/implementation specific.</v>
      </c>
    </row>
    <row r="97" spans="1:5" ht="84" customHeight="1">
      <c r="A97" s="23" t="str">
        <f>'HECVAT - Full | Vendor Response'!A103</f>
        <v>AAAI-10</v>
      </c>
      <c r="B97" s="23" t="str">
        <f>VLOOKUP($A97,Questions!$B$3:$I$256,2,FALSE)</f>
        <v>Do you support differentiation between email address and user identifier?</v>
      </c>
      <c r="C97" s="23" t="str">
        <f>VLOOKUP($A97,Questions!$B$3:$I$256,7,FALSE)</f>
        <v>This questions allows an institution to know vendor system limitations and to help them gauge the resources (that may be needed to implement) required to successfully integrate the product/service with institution systems.</v>
      </c>
      <c r="D97" s="23" t="str">
        <f>VLOOKUP($A97,Questions!$B$3:$I$256,8,FALSE)</f>
        <v>Follow-up inquiries for identifier requirements will be institution/implementation specific.</v>
      </c>
    </row>
    <row r="98" spans="1:5" ht="83.25" customHeight="1">
      <c r="A98" s="23" t="str">
        <f>'HECVAT - Full | Vendor Response'!A104</f>
        <v>AAAI-11</v>
      </c>
      <c r="B98" s="23" t="str">
        <f>VLOOKUP($A98,Questions!$B$3:$I$256,2,FALSE)</f>
        <v>Do you allow the customer to specify attribute mappings for any needed information beyond a user identifier? (e.g., Reference eduPerson, ePPA/ePPN/ePE)</v>
      </c>
      <c r="C98" s="23" t="str">
        <f>VLOOKUP($A98,Questions!$B$3:$I$256,7,FALSE)</f>
        <v>This questions allows an institution to know vendor system limitations and to help them gauge the resources (that may be needed to implement) required to successfully integrate the product/service with institution systems.</v>
      </c>
      <c r="D98" s="23" t="str">
        <f>VLOOKUP($A98,Questions!$B$3:$I$256,8,FALSE)</f>
        <v>Follow-up inquiries for attribute mapping requirements will be institution/implementation specific.</v>
      </c>
    </row>
    <row r="99" spans="1:5" ht="96" customHeight="1">
      <c r="A99" s="23" t="str">
        <f>'HECVAT - Full | Vendor Response'!A105</f>
        <v>AAAI-12</v>
      </c>
      <c r="B99" s="23" t="str">
        <f>VLOOKUP($A99,Questions!$B$3:$I$256,2,FALSE)</f>
        <v>If you don't support SSO, does your application and/or user-frontend/portal support multi-factor authentication? (e.g., Duo, Google Authenticator, OTP, etc.)</v>
      </c>
      <c r="C99" s="23" t="str">
        <f>VLOOKUP($A99,Questions!$B$3:$I$256,7,FALSE)</f>
        <v xml:space="preserve">2FA/MFA, implemented correctly, strengthens the security state of a system. 2FA/MFA is commonly implemented and in many use cases is a requirement for account protection purposes. </v>
      </c>
      <c r="D99" s="23" t="str">
        <f>VLOOKUP($A99,Questions!$B$3:$I$256,8,FALSE)</f>
        <v>Ask the vendor about hardware and software options, future roadmap for implementations and support, etc.</v>
      </c>
    </row>
    <row r="100" spans="1:5" ht="63.75" customHeight="1">
      <c r="A100" s="23" t="str">
        <f>'HECVAT - Full | Vendor Response'!A106</f>
        <v>AAAI-13</v>
      </c>
      <c r="B100" s="23" t="str">
        <f>VLOOKUP($A100,Questions!$B$3:$I$256,2,FALSE)</f>
        <v>Does your application automatically lock the session or log-out an account after a period of inactivity?</v>
      </c>
      <c r="C100" s="23" t="str">
        <f>VLOOKUP($A100,Questions!$B$3:$I$256,7,FALSE)</f>
        <v>This is a question to ensure account integrity and institutional data confidentiality.</v>
      </c>
      <c r="D100" s="23" t="str">
        <f>VLOOKUP($A100,Questions!$B$3:$I$256,8,FALSE)</f>
        <v>Follow-up inquiries for inactivity protections will be institution/implementation specific.</v>
      </c>
    </row>
    <row r="101" spans="1:5" ht="83.25" customHeight="1">
      <c r="A101" s="23" t="str">
        <f>'HECVAT - Full | Vendor Response'!A107</f>
        <v>AAAI-14</v>
      </c>
      <c r="B101" s="23" t="str">
        <f>VLOOKUP($A101,Questions!$B$3:$I$256,2,FALSE)</f>
        <v>Are there any passwords/passphrases hard-coded into your systems or products?</v>
      </c>
      <c r="C101" s="23" t="str">
        <f>VLOOKUP($A101,Questions!$B$3:$I$256,7,FALSE)</f>
        <v xml:space="preserve">The response to this question can reveal the use (or not) of coding best practices. If passwords/passphrases are hard-coded into systems/productions, the vendor should provide robust details supporting why this is required. </v>
      </c>
      <c r="D101" s="23" t="str">
        <f>VLOOKUP($A101,Questions!$B$3:$I$256,8,FALSE)</f>
        <v>Vague responses to this question should be met with concern. Repeat the question if first answer insufficiently - ask pointedly to ensure the vendor is not misunderstood.</v>
      </c>
    </row>
    <row r="102" spans="1:5" ht="112.5" customHeight="1">
      <c r="A102" s="23" t="str">
        <f>'HECVAT - Full | Vendor Response'!A110</f>
        <v>AAAI-17</v>
      </c>
      <c r="B102" s="23" t="str">
        <f>VLOOKUP($A102,Questions!$B$3:$I$256,2,FALSE)</f>
        <v>Are audit logs available that include AT LEAST all of the following: login, logout, actions performed, and source IP address?</v>
      </c>
      <c r="C102" s="23" t="str">
        <f>VLOOKUP($A102,Questions!$B$3:$I$256,7,FALSE)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102" s="23" t="str">
        <f>VLOOKUP($A102,Questions!$B$3:$I$256,8,FALSE)</f>
        <v>If a weak response is given to this answer, it is appropriate to ask directed answers to get specific information. Ensure that questions are targeted to ensure responses will come from the appropriate party within the vendor.</v>
      </c>
    </row>
    <row r="103" spans="1:5" ht="135">
      <c r="A103" s="23" t="str">
        <f>'HECVAT - Full | Vendor Response'!A111</f>
        <v>AAAI-18</v>
      </c>
      <c r="B103" s="23" t="str">
        <f>VLOOKUP($A103,Questions!$B$3:$I$256,2,FALSE)</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3" s="23" t="str">
        <f>VLOOKUP($A103,Questions!$B$3:$I$256,7,FALSE)</f>
        <v xml:space="preserve">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 </v>
      </c>
      <c r="D103" s="23" t="str">
        <f>VLOOKUP($A103,Questions!$B$3:$I$256,8,FALSE)</f>
        <v>If a weak response is given to this answer, it is appropriate to ask directed answers to get specific information. Ensure that questions are targeted to ensure responses will come from the appropriate party within the vendor.</v>
      </c>
    </row>
    <row r="104" spans="1:5" ht="96" customHeight="1">
      <c r="A104" s="23" t="str">
        <f>'HECVAT - Full | Vendor Response'!A112</f>
        <v>AAAI-19</v>
      </c>
      <c r="B104" s="23" t="str">
        <f>VLOOKUP($A104,Questions!$B$3:$I$256,2,FALSE)</f>
        <v>Describe or provide a reference to the retention period for those logs, how logs are protected, and whether they are accessible to the customer (and if so, how).</v>
      </c>
      <c r="C104" s="23" t="str">
        <f>VLOOKUP($A104,Questions!$B$3:$I$256,7,FALSE)</f>
        <v>There are multiple components of this question. When assessing, ensure that the vendor responds to them all. Logs that are not properly managed may not be available when needed. The purpose of this question is to ensure that the vendor has a proper security mindset to ensure proper monitoring practices.</v>
      </c>
      <c r="D104" s="23" t="str">
        <f>VLOOKUP($A104,Questions!$B$3:$I$256,8,FALSE)</f>
        <v>Follow-up inquiries for logging details will be institution/implementation specific.</v>
      </c>
      <c r="E104" s="238" t="s">
        <v>91</v>
      </c>
    </row>
    <row r="105" spans="1:5" ht="36" customHeight="1">
      <c r="A105" s="283" t="str">
        <f>IF(OR($C$28="No",$C$31="Yes"),"BCP - Respond to as many questions below as possible.","Business Continuity Plan")</f>
        <v>Business Continuity Plan</v>
      </c>
      <c r="B105" s="283"/>
      <c r="C105" s="18" t="str">
        <f>$C$23</f>
        <v>Reason for Question</v>
      </c>
      <c r="D105" s="18" t="str">
        <f>$D$23</f>
        <v>Follow-up Inquiries/Responses</v>
      </c>
    </row>
    <row r="106" spans="1:5" ht="72" customHeight="1">
      <c r="A106" s="23" t="str">
        <f>'HECVAT - Full | Vendor Response'!A114</f>
        <v>BCPL-01</v>
      </c>
      <c r="B106" s="23" t="str">
        <f>VLOOKUP($A106,Questions!$B$3:$I$256,2,FALSE)</f>
        <v>Is an owner assigned who is responsible for the maintenance and review of the Business Continuity Plan?</v>
      </c>
      <c r="C106" s="23" t="str">
        <f>VLOOKUP($A106,Questions!$B$3:$I$256,7,FALSE)</f>
        <v>Having a BCP and maintaining/updating/testing a BCP are very different. Establishing a responsible party is fundamental to this process, and this question looks to verify that within the vendor.</v>
      </c>
      <c r="D106" s="23" t="str">
        <f>VLOOKUP($A106,Questions!$B$3:$I$256,8,FALSE)</f>
        <v>Follow-up inquiries for BCP responsible parties will be institution/implementation specific.</v>
      </c>
    </row>
    <row r="107" spans="1:5" ht="72" customHeight="1">
      <c r="A107" s="23" t="str">
        <f>'HECVAT - Full | Vendor Response'!A115</f>
        <v>BCPL-02</v>
      </c>
      <c r="B107" s="23" t="str">
        <f>VLOOKUP($A107,Questions!$B$3:$I$256,2,FALSE)</f>
        <v>Is there a defined problem/issue escalation plan in your BCP for impacted clients?</v>
      </c>
      <c r="C107" s="23" t="str">
        <f>VLOOKUP($A107,Questions!$B$3:$I$256,7,FALSE)</f>
        <v>Notification expectations should be set early in the contract/assessment process. Timelines, correspondence medium, and playbook details are all aspects to keep in mind when assessing this response.</v>
      </c>
      <c r="D107" s="23" t="str">
        <f>VLOOKUP($A107,Questions!$B$3:$I$256,8,FALSE)</f>
        <v>If the vendor's response does not cover the details outlined in the reasoning, follow-up and get specific responses for each, as needed.</v>
      </c>
    </row>
    <row r="108" spans="1:5" ht="72" customHeight="1">
      <c r="A108" s="23" t="str">
        <f>'HECVAT - Full | Vendor Response'!A116</f>
        <v>BCPL-03</v>
      </c>
      <c r="B108" s="23" t="str">
        <f>VLOOKUP($A108,Questions!$B$3:$I$256,2,FALSE)</f>
        <v>Is there a documented communication plan in your BCP for impacted clients?</v>
      </c>
      <c r="C108" s="23" t="str">
        <f>VLOOKUP($A108,Questions!$B$3:$I$256,7,FALSE)</f>
        <v>Notification expectations should be set early in the contract/assessment process. Timelines, correspondence medium, and playbook details are all aspects to keep in mind when assessing this response.</v>
      </c>
      <c r="D108" s="23" t="str">
        <f>VLOOKUP($A108,Questions!$B$3:$I$256,8,FALSE)</f>
        <v>If the vendor's response does not cover the details outlined in the reasoning, follow-up and get specific responses for each, as needed.</v>
      </c>
    </row>
    <row r="109" spans="1:5" ht="96" customHeight="1">
      <c r="A109" s="23" t="str">
        <f>'HECVAT - Full | Vendor Response'!A117</f>
        <v>BCPL-04</v>
      </c>
      <c r="B109" s="23" t="str">
        <f>VLOOKUP($A109,Questions!$B$3:$I$256,2,FALSE)</f>
        <v>Are all components of the BCP reviewed at least annually and updated as needed to reflect change?</v>
      </c>
      <c r="C109" s="23" t="str">
        <f>VLOOKUP($A109,Questions!$B$3:$I$256,7,FALSE)</f>
        <v>It is expected that a vendor will maintain an accurate BCP to be tested at a regular interval. Any variance to this should be clearly explained. A vendor's response to this question can reveal the value that they place on testing their BCP (and possibly other aspects of their programs).</v>
      </c>
      <c r="D109" s="23" t="str">
        <f>VLOOKUP($A109,Questions!$B$3:$I$256,8,FALSE)</f>
        <v>If the vendor does not have a BCP, point them to https://www.sans.org/reading-room/whitepapers/recovery/business-continuity-planning-concept-operations-1653</v>
      </c>
    </row>
    <row r="110" spans="1:5" ht="90">
      <c r="A110" s="23" t="str">
        <f>'HECVAT - Full | Vendor Response'!A118</f>
        <v>BCPL-05</v>
      </c>
      <c r="B110" s="23" t="str">
        <f>VLOOKUP($A110,Questions!$B$3:$I$256,2,FALSE)</f>
        <v>Are specific crisis management roles and responsibilities defined and documented?</v>
      </c>
      <c r="C110" s="23" t="str">
        <f>VLOOKUP($A110,Questions!$B$3:$I$256,7,FALSE)</f>
        <v>As it relates to BCPs, a vendor's response will provide insight into their ability to properly response to business threats. A vendor that has not previously defined responsible parties and outlined realistic plans may not maintain the availability needed for the institution's use case or business requirement.</v>
      </c>
      <c r="D110" s="23" t="str">
        <f>VLOOKUP($A110,Questions!$B$3:$I$256,8,FALSE)</f>
        <v>Follow-up inquiries for BCP roles and responsibility details will be institution/implementation specific.</v>
      </c>
    </row>
    <row r="111" spans="1:5" ht="83.25" customHeight="1">
      <c r="A111" s="23" t="str">
        <f>'HECVAT - Full | Vendor Response'!A119</f>
        <v>BCPL-06</v>
      </c>
      <c r="B111" s="23" t="str">
        <f>VLOOKUP($A111,Questions!$B$3:$I$256,2,FALSE)</f>
        <v>Does your organization conduct training and awareness activities to validate its employees' understanding of their roles and responsibilities during a crisis?</v>
      </c>
      <c r="C111" s="23" t="str">
        <f>VLOOKUP($A111,Questions!$B$3:$I$256,7,FALSE)</f>
        <v>Understanding the maturity of a vendor's training and awareness program will indicate the value they place on protecting institutional data. BCP-related awareness training should be prevalent, continuous, and well-documented.</v>
      </c>
      <c r="D111" s="23" t="str">
        <f>VLOOKUP($A111,Questions!$B$3:$I$256,8,FALSE)</f>
        <v>If a vendor's BCP training and awareness activities are insufficient, inquire about other mandatory training, verify its scope, and confirm the training cycles.</v>
      </c>
    </row>
    <row r="112" spans="1:5" ht="90">
      <c r="A112" s="23" t="str">
        <f>'HECVAT - Full | Vendor Response'!A120</f>
        <v>BCPL-07</v>
      </c>
      <c r="B112" s="23" t="str">
        <f>VLOOKUP($A112,Questions!$B$3:$I$256,2,FALSE)</f>
        <v>Does your organization have an alternative business site or a contracted Business Recovery provider?</v>
      </c>
      <c r="C112" s="23" t="str">
        <f>VLOOKUP($A112,Questions!$B$3:$I$256,7,FALSE)</f>
        <v>In the event that a vendor's headquarters (primary location of operation) is no longer usable, an alternative business site may be needed to support business operations. Having an established (planned) alternative business site show maturity in a vendor's BCP.</v>
      </c>
      <c r="D112" s="23" t="str">
        <f>VLOOKUP($A112,Questions!$B$3:$I$256,8,FALSE)</f>
        <v>Follow-up inquiries for alternative business site practices will be institution/implementation specific.</v>
      </c>
    </row>
    <row r="113" spans="1:5" ht="83.25" customHeight="1">
      <c r="A113" s="23" t="str">
        <f>'HECVAT - Full | Vendor Response'!A121</f>
        <v>BCPL-08</v>
      </c>
      <c r="B113" s="23" t="str">
        <f>VLOOKUP($A113,Questions!$B$3:$I$256,2,FALSE)</f>
        <v>Does your organization conduct an annual test of relocating to an alternate site for business recovery purposes?</v>
      </c>
      <c r="C113" s="23" t="str">
        <f>VLOOKUP($A113,Questions!$B$3:$I$256,7,FALSE)</f>
        <v>Testing a BCP is an important action that improves the efficiency and accuracy of a vendor's continuity plans. Vague responses to this question should be met with concern and appropriate follow-up, based on your institutions risk tolerance.</v>
      </c>
      <c r="D113" s="23" t="str">
        <f>VLOOKUP($A113,Questions!$B$3:$I$256,8,FALSE)</f>
        <v>If the vendor does not have a BCP, point them to https://www.sans.org/reading-room/whitepapers/recovery/business-continuity-planning-concept-operations-1653</v>
      </c>
    </row>
    <row r="114" spans="1:5" ht="96" customHeight="1">
      <c r="A114" s="23" t="str">
        <f>'HECVAT - Full | Vendor Response'!A122</f>
        <v>BCPL-09</v>
      </c>
      <c r="B114" s="23" t="str">
        <f>VLOOKUP($A114,Questions!$B$3:$I$256,2,FALSE)</f>
        <v>Is this product a core service of your organization and, as such, the top priority during business continuity planning?</v>
      </c>
      <c r="C114" s="23" t="str">
        <f>VLOOKUP($A114,Questions!$B$3:$I$256,7,FALSE)</f>
        <v xml:space="preserve">The purpose of this question is to understand the vendor's order of response if affected by a unplanned business disruption. If the software/product/service being assessed is a vendor's core moneymaker, the probability is that restoration of the software/product/service will be top priority. </v>
      </c>
      <c r="D114" s="23" t="str">
        <f>VLOOKUP($A114,Questions!$B$3:$I$256,8,FALSE)</f>
        <v>If it is not a core service, follow-up questions should be availability focused and institution/implementation specific.</v>
      </c>
    </row>
    <row r="115" spans="1:5" ht="54" customHeight="1">
      <c r="A115" s="23" t="str">
        <f>'HECVAT - Full | Vendor Response'!A123</f>
        <v>BCPL-10</v>
      </c>
      <c r="B115" s="23" t="str">
        <f>VLOOKUP($A115,Questions!$B$3:$I$256,2,FALSE)</f>
        <v>Are all services that support your product fully redundant?</v>
      </c>
      <c r="C115" s="23" t="str">
        <f>VLOOKUP($A115,Questions!$B$3:$I$256,7,FALSE)</f>
        <v xml:space="preserve">In the context of the CIA triad, this question is focused on the availability of a system (or set of systems). </v>
      </c>
      <c r="D115" s="23" t="str">
        <f>VLOOKUP($A115,Questions!$B$3:$I$256,8,FALSE)</f>
        <v>The weight placed on the vendor's response will be specific to the institution's use case and software/product/service requirements.</v>
      </c>
      <c r="E115" s="238" t="s">
        <v>91</v>
      </c>
    </row>
    <row r="116" spans="1:5" ht="36" customHeight="1">
      <c r="A116" s="283" t="str">
        <f>IF($C$31="","Change Management",IF($C$31="Yes","Change Management - Optional based on QUALIFIER response.","Change Management"))</f>
        <v>Change Management</v>
      </c>
      <c r="B116" s="283"/>
      <c r="C116" s="18" t="str">
        <f>$C$23</f>
        <v>Reason for Question</v>
      </c>
      <c r="D116" s="18" t="str">
        <f>$D$23</f>
        <v>Follow-up Inquiries/Responses</v>
      </c>
    </row>
    <row r="117" spans="1:5" ht="60">
      <c r="A117" s="23" t="str">
        <f>'HECVAT - Full | Vendor Response'!A125</f>
        <v>CHNG-01</v>
      </c>
      <c r="B117" s="23" t="str">
        <f>VLOOKUP($A117,Questions!$B$3:$I$256,2,FALSE)</f>
        <v>Does your Change Management process minimally include authorization, impact analysis, testing, and validation before moving changes to production?</v>
      </c>
      <c r="C117" s="23" t="str">
        <f>VLOOKUP($A117,Questions!$B$3:$I$256,7,FALSE)</f>
        <v>This question outlines a mature Change Management process.  Changes should be analyzed for impact, officially approved, tested, and performed by authorized users.</v>
      </c>
      <c r="D117" s="23" t="str">
        <f>VLOOKUP($A117,Questions!$B$3:$I$256,8,FALSE)</f>
        <v>If the vendor's response does not cover the details outlined in the reasoning, follow-up and get specific responses, as needed.</v>
      </c>
    </row>
    <row r="118" spans="1:5" ht="80.25" customHeight="1">
      <c r="A118" s="23" t="str">
        <f>'HECVAT - Full | Vendor Response'!A126</f>
        <v>CHNG-02</v>
      </c>
      <c r="B118" s="23" t="str">
        <f>VLOOKUP($A118,Questions!$B$3:$I$256,2,FALSE)</f>
        <v>Does your Change Management process also verify that all required third-party libraries and dependencies are still supported with each major change?</v>
      </c>
      <c r="C118" s="23" t="str">
        <f>VLOOKUP($A118,Questions!$B$3:$I$256,7,FALSE)</f>
        <v>This question is fundamentally about supply chain. The vendor should be able to document its procedures around tracking third-party maintained libraries.</v>
      </c>
      <c r="D118" s="23" t="str">
        <f>VLOOKUP($A118,Questions!$B$3:$I$256,8,FALSE)</f>
        <v>If the vendor's response does not cover the details outlined in the reasoning, follow-up and get specific responses for each, as needed.</v>
      </c>
    </row>
    <row r="119" spans="1:5" ht="72" customHeight="1">
      <c r="A119" s="23" t="str">
        <f>'HECVAT - Full | Vendor Response'!A127</f>
        <v>CHNG-03</v>
      </c>
      <c r="B119" s="23" t="str">
        <f>VLOOKUP($A119,Questions!$B$3:$I$256,2,FALSE)</f>
        <v>Will the institution be notified of major changes to your environment that could impact the institution's security posture?</v>
      </c>
      <c r="C119" s="23" t="str">
        <f>VLOOKUP($A119,Questions!$B$3:$I$256,7,FALSE)</f>
        <v>Notification expectations should be set earlier in the contract/assessment process. Timelines, correspondence medium, and playbook details are all aspects to keep in mind when assessing this response.</v>
      </c>
      <c r="D119" s="23" t="str">
        <f>VLOOKUP($A119,Questions!$B$3:$I$256,8,FALSE)</f>
        <v>If the vendor's response does not cover the details outlined in the reasoning, follow-up and get specific responses for each, as needed.</v>
      </c>
    </row>
    <row r="120" spans="1:5" ht="120">
      <c r="A120" s="23" t="str">
        <f>'HECVAT - Full | Vendor Response'!A128</f>
        <v>CHNG-04</v>
      </c>
      <c r="B120" s="23" t="str">
        <f>VLOOKUP($A120,Questions!$B$3:$I$256,2,FALSE)</f>
        <v>Do clients have the option to not participate in or postpone an upgrade to a new release?</v>
      </c>
      <c r="C120" s="23" t="str">
        <f>VLOOKUP($A120,Questions!$B$3:$I$256,7,FALSE)</f>
        <v xml:space="preserve">Unplanned and/or unexpected changes in a complex environment can introduce intolerable risks to the institution. Based on the operating environment of the institution, it may be necessary to postpone (or properly plan) the change to a system. The vendor's response should clarify their use of a "one code base" method or the ability to run multiple versions concurrently. </v>
      </c>
      <c r="D120" s="23" t="str">
        <f>VLOOKUP($A120,Questions!$B$3:$I$256,8,FALSE)</f>
        <v>Follow-up inquiries for software/product/service version releases will be institution/implementation specific.</v>
      </c>
    </row>
    <row r="121" spans="1:5" ht="64.5" customHeight="1">
      <c r="A121" s="23" t="str">
        <f>'HECVAT - Full | Vendor Response'!A129</f>
        <v>CHNG-05</v>
      </c>
      <c r="B121" s="23" t="str">
        <f>VLOOKUP($A121,Questions!$B$3:$I$256,2,FALSE)</f>
        <v>Do you have a fully implemented solution support strategy that defines how many concurrent versions you support?</v>
      </c>
      <c r="C121" s="23" t="str">
        <f>VLOOKUP($A121,Questions!$B$3:$I$256,7,FALSE)</f>
        <v xml:space="preserve">Supporting multiple versions of a product is challenging. Understanding the vendor’s strategy and resources will provide insight into their ability to adequately support their customers.  </v>
      </c>
      <c r="D121" s="23" t="str">
        <f>VLOOKUP($A121,Questions!$B$3:$I$256,8,FALSE)</f>
        <v>Follow-up inquiries for the vendor’s support of concurrent versions will be institution/implementation specific.</v>
      </c>
    </row>
    <row r="122" spans="1:5" ht="90">
      <c r="A122" s="23" t="str">
        <f>'HECVAT - Full | Vendor Response'!A130</f>
        <v>CHNG-06</v>
      </c>
      <c r="B122" s="23" t="str">
        <f>VLOOKUP($A122,Questions!$B$3:$I$256,2,FALSE)</f>
        <v>Does the system support client customizations from one release to another?</v>
      </c>
      <c r="C122" s="23" t="str">
        <f>VLOOKUP($A122,Questions!$B$3:$I$256,7,FALSE)</f>
        <v xml:space="preserve">The vendor's software/product/service characteristics and the institution's use case will determine the relevancy of this question. The purpose of this question is to understand the underlying infrastructure and how it is maintained across all customers. </v>
      </c>
      <c r="D122" s="23" t="str">
        <f>VLOOKUP($A122,Questions!$B$3:$I$256,8,FALSE)</f>
        <v>In cases where the software/product/service is customized for customer use cases, ensure the vendor's response covers all aspects of code migration, including backups, data conversions, local resources from the institution, etc., as it relates to code upgrades and/or version adoptions.</v>
      </c>
    </row>
    <row r="123" spans="1:5" ht="92.25" customHeight="1">
      <c r="A123" s="23" t="str">
        <f>'HECVAT - Full | Vendor Response'!A131</f>
        <v>CHNG-07</v>
      </c>
      <c r="B123" s="23" t="str">
        <f>VLOOKUP($A123,Questions!$B$3:$I$256,2,FALSE)</f>
        <v>Do you have a release schedule for product updates?</v>
      </c>
      <c r="C123" s="23" t="str">
        <f>VLOOKUP($A123,Questions!$B$3:$I$256,7,FALSE)</f>
        <v xml:space="preserve">Answers to this question will reveal the vendor’s ability to plan in the short term. This is valuable information for customers so they can anticipate updates and potential bug fixes. </v>
      </c>
      <c r="D123" s="23" t="str">
        <f>VLOOKUP($A123,Questions!$B$3:$I$256,8,FALSE)</f>
        <v>Follow-up inquiries for the vendor’s product update practices will be institution/implementation specific.</v>
      </c>
    </row>
    <row r="124" spans="1:5" ht="64.5" customHeight="1">
      <c r="A124" s="23" t="str">
        <f>'HECVAT - Full | Vendor Response'!A132</f>
        <v>CHNG-08</v>
      </c>
      <c r="B124" s="23" t="str">
        <f>VLOOKUP($A124,Questions!$B$3:$I$256,2,FALSE)</f>
        <v>Do you have a technology roadmap, for at least the next two years, for enhancements and bug fixes for the product/service being assessed?</v>
      </c>
      <c r="C124" s="23" t="str">
        <f>VLOOKUP($A124,Questions!$B$3:$I$256,7,FALSE)</f>
        <v>Answers to this question will reveal the vendor’s ability to plan for the future of their product.</v>
      </c>
      <c r="D124" s="23" t="str">
        <f>VLOOKUP($A124,Questions!$B$3:$I$256,8,FALSE)</f>
        <v>Follow-up inquiries for the vendor’s technology planning practices will be institution/implementation specific.</v>
      </c>
    </row>
    <row r="125" spans="1:5" ht="120">
      <c r="A125" s="23" t="str">
        <f>'HECVAT - Full | Vendor Response'!A133</f>
        <v>CHNG-09</v>
      </c>
      <c r="B125" s="23" t="str">
        <f>VLOOKUP($A125,Questions!$B$3:$I$256,2,FALSE)</f>
        <v>Is institutional involvement (i.e., technically or organizationally) required during product updates?</v>
      </c>
      <c r="C125" s="23" t="str">
        <f>VLOOKUP($A125,Questions!$B$3:$I$256,7,FALSE)</f>
        <v>The response to this question allows the institution to understand the information technology resources required to properly maintain the vendor's system. Initial acquisition and setup is important to assess, but the long-term maintenance (and the risks that come with it) should be clearly defined. Use the response to this question to pivot to other questions and/or verify other vendor responses.</v>
      </c>
      <c r="D125" s="23" t="str">
        <f>VLOOKUP($A125,Questions!$B$3:$I$256,8,FALSE)</f>
        <v>Vague responses to this question should be investigated further. Ask for additional documentation for customer responsibilities (in the context of information technology/security).</v>
      </c>
    </row>
    <row r="126" spans="1:5" ht="60">
      <c r="A126" s="23" t="str">
        <f>'HECVAT - Full | Vendor Response'!A134</f>
        <v>CHNG-10</v>
      </c>
      <c r="B126" s="23" t="str">
        <f>VLOOKUP($A126,Questions!$B$3:$I$256,2,FALSE)</f>
        <v>Do you have policy and procedure, currently implemented, managing how critical patches are applied to all systems and applications?</v>
      </c>
      <c r="C126" s="23" t="str">
        <f>VLOOKUP($A126,Questions!$B$3:$I$256,7,FALSE)</f>
        <v>Answers to this question will reveal the vendor’s knowledge of their IT assets and their ability to respond to notifications about their systems and software.</v>
      </c>
      <c r="D126" s="23" t="str">
        <f>VLOOKUP($A126,Questions!$B$3:$I$256,8,FALSE)</f>
        <v>Follow-up inquiries for the vendor’s patching practices will be institution/implementation specific.</v>
      </c>
    </row>
    <row r="127" spans="1:5" ht="90">
      <c r="A127" s="23" t="str">
        <f>'HECVAT - Full | Vendor Response'!A135</f>
        <v>CHNG-11</v>
      </c>
      <c r="B127" s="23" t="str">
        <f>VLOOKUP($A127,Questions!$B$3:$I$256,2,FALSE)</f>
        <v>Do you have policy and procedure, currently implemented, guiding how security risks are mitigated until patches can be applied?</v>
      </c>
      <c r="C127" s="23" t="str">
        <f>VLOOKUP($A127,Questions!$B$3:$I$256,7,FALSE)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127" s="23" t="str">
        <f>VLOOKUP($A127,Questions!$B$3:$I$256,8,FALSE)</f>
        <v>Follow-up inquiries for the vendors patching practices will be institution/implementation specific.</v>
      </c>
    </row>
    <row r="128" spans="1:5" ht="75">
      <c r="A128" s="23" t="str">
        <f>'HECVAT - Full | Vendor Response'!A136</f>
        <v>CHNG-12</v>
      </c>
      <c r="B128" s="23" t="str">
        <f>VLOOKUP($A128,Questions!$B$3:$I$256,2,FALSE)</f>
        <v>Are upgrades or system changes installed during off-peak hours or in a manner that does not impact the customer?</v>
      </c>
      <c r="C128" s="23" t="str">
        <f>VLOOKUP($A128,Questions!$B$3:$I$256,7,FALSE)</f>
        <v>Restricting system updates to a standard maintenance timeframe is important for ensuring that changes to production systems do not impact operations.  It’s also important for troubleshooting any problems that may occur as a result of the changes.</v>
      </c>
      <c r="D128" s="23" t="str">
        <f>VLOOKUP($A128,Questions!$B$3:$I$256,8,FALSE)</f>
        <v>If the vendor's response does not cover the details outlined in the reasoning, follow-up and get specific responses, as needed.</v>
      </c>
    </row>
    <row r="129" spans="1:5" ht="75">
      <c r="A129" s="23" t="str">
        <f>'HECVAT - Full | Vendor Response'!A137</f>
        <v>CHNG-13</v>
      </c>
      <c r="B129" s="23" t="str">
        <f>VLOOKUP($A129,Questions!$B$3:$I$256,2,FALSE)</f>
        <v>Do procedures exist to provide that emergency changes are documented and authorized (including after-the-fact approval)?</v>
      </c>
      <c r="C129" s="23" t="str">
        <f>VLOOKUP($A129,Questions!$B$3:$I$256,7,FALSE)</f>
        <v xml:space="preserve">In the context of the CIA triad, this question is focused on system integrity, ensuring that system changes are only executed by authorized users. In the event of emergency changes, accountability and post-action review is expected. </v>
      </c>
      <c r="D129" s="23" t="str">
        <f>VLOOKUP($A129,Questions!$B$3:$I$256,8,FALSE)</f>
        <v>Follow-up with a robust question set if a vendor cannot clearly state full control of the integrity of their system(s).</v>
      </c>
    </row>
    <row r="130" spans="1:5" ht="120">
      <c r="A130" s="23" t="str">
        <f>'HECVAT - Full | Vendor Response'!A138</f>
        <v>CHNG-14</v>
      </c>
      <c r="B130" s="23" t="str">
        <f>VLOOKUP($A130,Questions!$B$3:$I$256,2,FALSE)</f>
        <v>Do you have an implemented system configuration management process? (e.g.,secure "gold" images, etc.)</v>
      </c>
      <c r="C130" s="23" t="str">
        <f>VLOOKUP($A130,Questions!$B$3:$I$256,7,FALSE)</f>
        <v xml:space="preserve">Hardware lifecycles and continuous software updates creates an always-changing landscape in information technology. The focus of this question is the integrity of a vendor's infrastructure. Mismanagement of system configurations can lead to breakdowns in layers of security. </v>
      </c>
      <c r="D130" s="23" t="str">
        <f>VLOOKUP($A130,Questions!$B$3:$I$256,8,FALSE)</f>
        <v>It is expected that vendors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31" spans="1:5" ht="96" customHeight="1">
      <c r="A131" s="23" t="str">
        <f>'HECVAT - Full | Vendor Response'!A139</f>
        <v>CHNG-15</v>
      </c>
      <c r="B131" s="23" t="str">
        <f>VLOOKUP($A131,Questions!$B$3:$I$256,2,FALSE)</f>
        <v>Do you have a systems management and configuration strategy that encompasses servers, appliances, cloud services, applications, and mobile devices (company and employee owned)?</v>
      </c>
      <c r="C131" s="23" t="str">
        <f>VLOOKUP($A131,Questions!$B$3:$I$256,7,FALSE)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131" s="23" t="str">
        <f>VLOOKUP($A131,Questions!$B$3:$I$256,8,FALSE)</f>
        <v>Follow up with a robust question set if the vendor cannot clearly state full control of the integrity of their system(s). Questions about administrator access on end-user devices and other maintenance and patching type questions are appropriate.</v>
      </c>
      <c r="E131" s="238" t="s">
        <v>91</v>
      </c>
    </row>
    <row r="132" spans="1:5" ht="36" customHeight="1">
      <c r="A132" s="283" t="str">
        <f>IF($C$31="","Data",IF($C$31="Yes","Data - Optional based on QUALIFIER response.","Data"))</f>
        <v>Data</v>
      </c>
      <c r="B132" s="283"/>
      <c r="C132" s="18" t="str">
        <f>$C$23</f>
        <v>Reason for Question</v>
      </c>
      <c r="D132" s="18" t="str">
        <f>$D$23</f>
        <v>Follow-up Inquiries/Responses</v>
      </c>
    </row>
    <row r="133" spans="1:5" ht="135">
      <c r="A133" s="23" t="str">
        <f>'HECVAT - Full | Vendor Response'!A141</f>
        <v>DATA-01</v>
      </c>
      <c r="B133" s="23" t="str">
        <f>VLOOKUP($A133,Questions!$B$3:$I$256,2,FALSE)</f>
        <v>Does the environment provide for dedicated single-tenant capabilities? If not, describe how your product or environment separates data from different customers (e.g., logically, physically, single tenancy, multi-tenancy).</v>
      </c>
      <c r="C133" s="23" t="str">
        <f>VLOOKUP($A133,Questions!$B$3:$I$256,7,FALSE)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133" s="23" t="str">
        <f>VLOOKUP($A133,Questions!$B$3:$I$256,8,FALSE)</f>
        <v>Follow-up inquiries for dedicated single-tenant capabilities will be institution/implementation specific.</v>
      </c>
      <c r="E133" s="198"/>
    </row>
    <row r="134" spans="1:5" ht="74.25" customHeight="1">
      <c r="A134" s="23" t="str">
        <f>'HECVAT - Full | Vendor Response'!A142</f>
        <v>DATA-02</v>
      </c>
      <c r="B134" s="23" t="str">
        <f>VLOOKUP($A134,Questions!$B$3:$I$256,2,FALSE)</f>
        <v>Will the institution's data be stored on any devices (database servers, file servers, SAN, NAS, etc.) configured with non-RFC 1918/4193 (i.e., publicly routable) IP addresses?</v>
      </c>
      <c r="C134" s="23" t="str">
        <f>VLOOKUP($A134,Questions!$B$3:$I$256,7,FALSE)</f>
        <v>Systems that are directly exposed to public internet resources are at greater risk than those that are not. Understanding the requirements for this configuration is important, particularly when assessing compensating controls.</v>
      </c>
      <c r="D134" s="23" t="str">
        <f>VLOOKUP($A134,Questions!$B$3:$I$256,8,FALSE)</f>
        <v>Ask the vendor about their infrastructure and if there is a solution that eliminates the need for this environment.</v>
      </c>
    </row>
    <row r="135" spans="1:5" ht="68.25" customHeight="1">
      <c r="A135" s="23" t="str">
        <f>'HECVAT - Full | Vendor Response'!A143</f>
        <v>DATA-03</v>
      </c>
      <c r="B135" s="23" t="str">
        <f>VLOOKUP($A135,Questions!$B$3:$I$256,2,FALSE)</f>
        <v>Is sensitive data encrypted, using secure protocols/algorithms, in transport? (e.g., system-to-client)</v>
      </c>
      <c r="C135" s="23" t="str">
        <f>VLOOKUP($A135,Questions!$B$3:$I$256,7,FALSE)</f>
        <v>The need for encryption in transport is unique to your institution's implementation of a system. In particular, the data flow between the system and the end-users of the software/product/service.</v>
      </c>
      <c r="D135" s="23" t="str">
        <f>VLOOKUP($A135,Questions!$B$3:$I$256,8,FALSE)</f>
        <v>Follow-up inquiries for data encryption between the system and end-users will be institution/implementation specific.</v>
      </c>
    </row>
    <row r="136" spans="1:5" ht="68.25" customHeight="1">
      <c r="A136" s="23" t="str">
        <f>'HECVAT - Full | Vendor Response'!A144</f>
        <v>DATA-04</v>
      </c>
      <c r="B136" s="23" t="str">
        <f>VLOOKUP($A136,Questions!$B$3:$I$256,2,FALSE)</f>
        <v>Is sensitive data encrypted, using secure protocols/algorithms, in storage? (e.g., disk encryption, at-rest, files, and within a running database)</v>
      </c>
      <c r="C136" s="23" t="str">
        <f>VLOOKUP($A136,Questions!$B$3:$I$256,7,FALSE)</f>
        <v>The need for encryption at-rest is unique to your institution's implementation of a system. In particular, system components, architectures, and data flows all factor into the need for this control.</v>
      </c>
      <c r="D136" s="23" t="str">
        <f>VLOOKUP($A136,Questions!$B$3:$I$256,8,FALSE)</f>
        <v>Follow-up inquiries for data encryption at-rest will be institution/implementation specific.</v>
      </c>
    </row>
    <row r="137" spans="1:5" ht="90">
      <c r="A137" s="23" t="str">
        <f>'HECVAT - Full | Vendor Response'!A145</f>
        <v>DATA-05</v>
      </c>
      <c r="B137" s="23" t="str">
        <f>VLOOKUP($A137,Questions!$B$3:$I$256,2,FALSE)</f>
        <v>Do all cryptographic modules in use in your product conform to the Federal Information Processing Standards (FIPS PUB 140-3)?</v>
      </c>
      <c r="C137" s="23" t="str">
        <f>VLOOKUP($A137,Questions!$B$3:$I$256,7,FALSE)</f>
        <v>Beware the use of proprietary encryption implementations. Open standard encryption, preferably mature, is often preferred. Although there may be cases in which that is not the case, be sure to understand the vendor's infrastructure and the true security of a vendor's solution.</v>
      </c>
      <c r="D137" s="23" t="str">
        <f>VLOOKUP($A137,Questions!$B$3:$I$256,8,FALSE)</f>
        <v xml:space="preserve">If the vendor cannot accommodate open standards encryption requirements, direct them to NIST's Cryptographic Standards and Guidelines document at https://csrc.nist.gov/Projects/Cryptographic-Standards-and-Guidelines </v>
      </c>
    </row>
    <row r="138" spans="1:5" ht="75">
      <c r="A138" s="23" t="str">
        <f>'HECVAT - Full | Vendor Response'!A146</f>
        <v>DATA-06</v>
      </c>
      <c r="B138" s="23" t="str">
        <f>VLOOKUP($A138,Questions!$B$3:$I$256,2,FALSE)</f>
        <v>At the completion of this contract, will data be returned to the institution and deleted from all your systems and archives?</v>
      </c>
      <c r="C138" s="23" t="str">
        <f>VLOOKUP($A138,Questions!$B$3:$I$256,7,FALSE)</f>
        <v>When cancelling a software/product/service, an institution will commonly want all institutional data that was provided to a vendor. This questions allows the vendor to state their general practices when a customer leaves their environment.</v>
      </c>
      <c r="D138" s="23" t="str">
        <f>VLOOKUP($A138,Questions!$B$3:$I$256,8,FALSE)</f>
        <v>A vendor's response should be clear and concise. Be wary of vague responses to this questions and inquire about export specifics, as needed.</v>
      </c>
    </row>
    <row r="139" spans="1:5" ht="75">
      <c r="A139" s="23" t="str">
        <f>'HECVAT - Full | Vendor Response'!A147</f>
        <v>DATA-07</v>
      </c>
      <c r="B139" s="23" t="str">
        <f>VLOOKUP($A139,Questions!$B$3:$I$256,2,FALSE)</f>
        <v>Will the institution's data be available within the system for a period of time at the completion of this contract?</v>
      </c>
      <c r="C139" s="23" t="str">
        <f>VLOOKUP($A139,Questions!$B$3:$I$256,7,FALSE)</f>
        <v>When cancelling a software/product/service, an institution will commonly want all institutional data that was provided to a vendor. This questions allows the vendor to state their general practices when a customer leaves their environment.</v>
      </c>
      <c r="D139" s="23" t="str">
        <f>VLOOKUP($A139,Questions!$B$3:$I$256,8,FALSE)</f>
        <v>A vendor's response should be clear and concise. Be wary of vague responses to this questions and inquire about export specifics, as needed.</v>
      </c>
    </row>
    <row r="140" spans="1:5" ht="76.5" customHeight="1">
      <c r="A140" s="23" t="str">
        <f>'HECVAT - Full | Vendor Response'!A148</f>
        <v>DATA-08</v>
      </c>
      <c r="B140" s="23" t="str">
        <f>VLOOKUP($A140,Questions!$B$3:$I$256,2,FALSE)</f>
        <v>Can the institution extract a full or partial backup of data?</v>
      </c>
      <c r="C140" s="23" t="str">
        <f>VLOOKUP($A140,Questions!$B$3:$I$256,7,FALSE)</f>
        <v>When cancelling a software/product/service, an institution will commonly want all institutional data that was provided to a vendor. The vendor's response should verify if the institution can extract data or if it is a manual extraction by vendor staff.</v>
      </c>
      <c r="D140" s="23" t="str">
        <f>VLOOKUP($A140,Questions!$B$3:$I$256,8,FALSE)</f>
        <v>A vendor's response should be clear and concise. Be wary of vague responses to this questions and inquire about export specifics, as needed.</v>
      </c>
    </row>
    <row r="141" spans="1:5" ht="90">
      <c r="A141" s="23" t="str">
        <f>'HECVAT - Full | Vendor Response'!A149</f>
        <v>DATA-09</v>
      </c>
      <c r="B141" s="23" t="str">
        <f>VLOOKUP($A141,Questions!$B$3:$I$256,2,FALSE)</f>
        <v>Are ownership rights to all data, inputs, outputs, and metadata retained by the institution?</v>
      </c>
      <c r="C141" s="23" t="str">
        <f>VLOOKUP($A141,Questions!$B$3:$I$256,7,FALSE)</f>
        <v>This question clarifies the operating model of a vendor and provides insight into the vendor-customer paradigm of a company. Knowing if the institution is of value to a vendor or if the institution's data is of value to a vendor should weigh heavily in the decision-making process.</v>
      </c>
      <c r="D141" s="23" t="str">
        <f>VLOOKUP($A141,Questions!$B$3:$I$256,8,FALSE)</f>
        <v>If a vendor's response is unsatisfactory, engage institutional counsel to appropriately address any ownership concerns.</v>
      </c>
    </row>
    <row r="142" spans="1:5" ht="60">
      <c r="A142" s="23" t="str">
        <f>'HECVAT - Full | Vendor Response'!A150</f>
        <v>DATA-10</v>
      </c>
      <c r="B142" s="23" t="str">
        <f>VLOOKUP($A142,Questions!$B$3:$I$256,2,FALSE)</f>
        <v>Are these rights retained even through a provider acquisition or bankruptcy event?</v>
      </c>
      <c r="C142" s="23" t="str">
        <f>VLOOKUP($A142,Questions!$B$3:$I$256,7,FALSE)</f>
        <v>This question clarifies the position of the institution in the case of acquisition or bankruptcy. Expect clear responses to this question. If they are vague, be sure to follow up based on institutional counsel guidance.</v>
      </c>
      <c r="D142" s="23" t="str">
        <f>VLOOKUP($A142,Questions!$B$3:$I$256,8,FALSE)</f>
        <v>If a vendor's response is unsatisfactory, engage institutional counsel to appropriately address any ownership concerns.</v>
      </c>
    </row>
    <row r="143" spans="1:5" ht="92.25" customHeight="1">
      <c r="A143" s="23" t="str">
        <f>'HECVAT - Full | Vendor Response'!A151</f>
        <v>DATA-11</v>
      </c>
      <c r="B143" s="23" t="str">
        <f>VLOOKUP($A143,Questions!$B$3:$I$256,2,FALSE)</f>
        <v>In the event of imminent bankruptcy, closing of business, or retirement of service, will you provide 90 days for customers to get their data out of the system and migrate applications?</v>
      </c>
      <c r="C143" s="23" t="str">
        <f>VLOOKUP($A143,Questions!$B$3:$I$256,7,FALSE)</f>
        <v>This question clarifies the position of the institution in the case of acquisition or bankruptcy. Expect clear responses to this question. If they are vague, be sure to follow up based on institutional counsel guidance.</v>
      </c>
      <c r="D143" s="23" t="str">
        <f>VLOOKUP($A143,Questions!$B$3:$I$256,8,FALSE)</f>
        <v>If a vendor's response is unsatisfactory, engage institutional counsel to appropriately address any ownership concerns.</v>
      </c>
    </row>
    <row r="144" spans="1:5" ht="90">
      <c r="A144" s="23" t="str">
        <f>'HECVAT - Full | Vendor Response'!A152</f>
        <v>DATA-12</v>
      </c>
      <c r="B144" s="23" t="str">
        <f>VLOOKUP($A144,Questions!$B$3:$I$256,2,FALSE)</f>
        <v>Are involatile backup copies made according to predefined schedules and securely stored and protected?</v>
      </c>
      <c r="C144" s="23" t="str">
        <f>VLOOKUP($A144,Questions!$B$3:$I$256,7,FALSE)</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4" s="23" t="str">
        <f>VLOOKUP($A144,Questions!$B$3:$I$256,8,FALSE)</f>
        <v>An institution's use case will drive the requirements for backup strategy. Ensure that the institution's use case and risk tolerance can be met by vendor systems.</v>
      </c>
    </row>
    <row r="145" spans="1:5" ht="64.5" customHeight="1">
      <c r="A145" s="23" t="str">
        <f>'HECVAT - Full | Vendor Response'!A153</f>
        <v>DATA-13</v>
      </c>
      <c r="B145" s="23" t="str">
        <f>VLOOKUP($A145,Questions!$B$3:$I$256,2,FALSE)</f>
        <v>Do current backups include all operating system software, utilities, security software, application software, and data files necessary for recovery?</v>
      </c>
      <c r="C145" s="23" t="str">
        <f>VLOOKUP($A145,Questions!$B$3:$I$256,7,FALSE)</f>
        <v>The purpose of this question is to define the scope of backup operations and the scope at which a vendor may readily recover when backup restoration is required.</v>
      </c>
      <c r="D145" s="23" t="str">
        <f>VLOOKUP($A145,Questions!$B$3:$I$256,8,FALSE)</f>
        <v>Follow-up inquiries for backup content scope will be institution/implementation specific.</v>
      </c>
    </row>
    <row r="146" spans="1:5" ht="75">
      <c r="A146" s="23" t="str">
        <f>'HECVAT - Full | Vendor Response'!A154</f>
        <v>DATA-14</v>
      </c>
      <c r="B146" s="23" t="str">
        <f>VLOOKUP($A146,Questions!$B$3:$I$256,2,FALSE)</f>
        <v>Are you performing off-site backups? (i.e., digitally moved off site)</v>
      </c>
      <c r="C146" s="23" t="str">
        <f>VLOOKUP($A146,Questions!$B$3:$I$256,7,FALSE)</f>
        <v>When data is moved digitally (e.g., cloud provider, vendor-owned facility, etc.) offsite, the policies and implemented procedures are important to know. The protections implemented to prevent compromise will be technical in nature and should be well-documented.</v>
      </c>
      <c r="D146" s="23" t="str">
        <f>VLOOKUP($A146,Questions!$B$3:$I$256,8,FALSE)</f>
        <v>Follow-up inquiries for offsite, digital backups will be institution/implementation specific.</v>
      </c>
    </row>
    <row r="147" spans="1:5" ht="80.25" customHeight="1">
      <c r="A147" s="23" t="str">
        <f>'HECVAT - Full | Vendor Response'!A155</f>
        <v>DATA-15</v>
      </c>
      <c r="B147" s="23" t="str">
        <f>VLOOKUP($A147,Questions!$B$3:$I$256,2,FALSE)</f>
        <v>Are physical backups taken off site? (i.e., physically moved off site)</v>
      </c>
      <c r="C147" s="23" t="str">
        <f>VLOOKUP($A147,Questions!$B$3:$I$256,7,FALSE)</f>
        <v xml:space="preserve">When data is moved physically (e.g.,HDD, print, etc.) off-site, the policies and implemented procedures are important to know. Unencrypted data taken outside secured areas introduces unnecessary risks. </v>
      </c>
      <c r="D147" s="23" t="str">
        <f>VLOOKUP($A147,Questions!$B$3:$I$256,8,FALSE)</f>
        <v>Follow-up inquiries for offsite, physical backups will be institution/implementation specific.</v>
      </c>
    </row>
    <row r="148" spans="1:5" ht="90">
      <c r="A148" s="23" t="str">
        <f>'HECVAT - Full | Vendor Response'!A156</f>
        <v>DATA-16</v>
      </c>
      <c r="B148" s="23" t="str">
        <f>VLOOKUP($A148,Questions!$B$3:$I$256,2,FALSE)</f>
        <v>Do backups containing the institution's data ever leave the institution's data zone either physically or via network routing?</v>
      </c>
      <c r="C148" s="23" t="str">
        <f>VLOOKUP($A148,Questions!$B$3:$I$256,7,FALSE)</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48" s="23" t="str">
        <f>VLOOKUP($A148,Questions!$B$3:$I$256,8,FALSE)</f>
        <v>Follow-up inquiries for data backup procedures/practices will be institution/implementation specific.</v>
      </c>
    </row>
    <row r="149" spans="1:5" ht="75">
      <c r="A149" s="23" t="str">
        <f>'HECVAT - Full | Vendor Response'!A157</f>
        <v>DATA-17</v>
      </c>
      <c r="B149" s="23" t="str">
        <f>VLOOKUP($A149,Questions!$B$3:$I$256,2,FALSE)</f>
        <v>Are data backups encrypted?</v>
      </c>
      <c r="C149" s="23" t="str">
        <f>VLOOKUP($A149,Questions!$B$3:$I$256,7,FALSE)</f>
        <v>The need for encryption at rest (for backups) is unique to your institution's implementation of a system. In particular, system components, architectures, and data flows all factor into the need for this control.</v>
      </c>
      <c r="D149" s="23" t="str">
        <f>VLOOKUP($A149,Questions!$B$3:$I$256,8,FALSE)</f>
        <v>Follow-up inquiries for data backup encryption at-rest will be institution/implementation specific.</v>
      </c>
    </row>
    <row r="150" spans="1:5" ht="105">
      <c r="A150" s="23" t="str">
        <f>'HECVAT - Full | Vendor Response'!A158</f>
        <v>DATA-18</v>
      </c>
      <c r="B150" s="23" t="str">
        <f>VLOOKUP($A150,Questions!$B$3:$I$256,2,FALSE)</f>
        <v>Do you have a cryptographic key management process (generation, exchange, storage, safeguards, use, vetting, and replacement) that is documented and currently implemented, for all system components? (e.g., database, system, web, etc.)</v>
      </c>
      <c r="C150" s="23" t="str">
        <f>VLOOKUP($A150,Questions!$B$3:$I$256,7,FALSE)</f>
        <v>Understanding how key management is handled and the safeguards implemented by the vendor to ensure key confidentiality in all components of a system(s) can provide insight into other complex details of a vendor's infrastructure. Use vendor responses to this question as a way to pivot to other infrastructure specifics, as needed to clarify potential risks.</v>
      </c>
      <c r="D150" s="23" t="str">
        <f>VLOOKUP($A150,Questions!$B$3:$I$256,8,FALSE)</f>
        <v>Follow up with the vendor to ensure that all components of the system are considered. This includes system-to-system, system-to-client, applications, system accounts, etc.</v>
      </c>
    </row>
    <row r="151" spans="1:5" ht="75">
      <c r="A151" s="23" t="str">
        <f>'HECVAT - Full | Vendor Response'!A159</f>
        <v>DATA-19</v>
      </c>
      <c r="B151" s="23" t="str">
        <f>VLOOKUP($A151,Questions!$B$3:$I$256,2,FALSE)</f>
        <v>Do you have a media handling process that is documented and currently implemented that meets established business needs and regulatory requirements, including end-of-life, repurposing and data sanitization procedures?</v>
      </c>
      <c r="C151" s="23" t="str">
        <f>VLOOKUP($A151,Questions!$B$3:$I$256,7,FALSE)</f>
        <v>Managing media (and the data within) throughout its lifecycle is crucial to the protection of institutional data. The focus of this question is confidentiality, ensuring that media that may store institutional data is protected by well-established policy and procedure.</v>
      </c>
      <c r="D151" s="23" t="str">
        <f>VLOOKUP($A151,Questions!$B$3:$I$256,8,FALSE)</f>
        <v>Vague responses to this question should be investigated further. Ask for additional documentation and verify that procedure (and possibly training) exists to ensure proper media handling activity.</v>
      </c>
    </row>
    <row r="152" spans="1:5" ht="75">
      <c r="A152" s="23" t="str">
        <f>'HECVAT - Full | Vendor Response'!A160</f>
        <v>DATA-20</v>
      </c>
      <c r="B152" s="23" t="str">
        <f>VLOOKUP($A152,Questions!$B$3:$I$256,2,FALSE)</f>
        <v>Does the process described in DATA-19 adhere to DoD 5220.22-M and/or NIST SP 800-88 standards?</v>
      </c>
      <c r="C152" s="23" t="str">
        <f>VLOOKUP($A152,Questions!$B$3:$I$256,7,FALSE)</f>
        <v xml:space="preserve">Managing media (and the data within) throughout its lifecycle is crucial to the protection of institutional data. The focus of this question is confidentiality, ensuring that media that may store institutional data is protected by well-established policy and procedure. </v>
      </c>
      <c r="D152" s="23" t="str">
        <f>VLOOKUP($A152,Questions!$B$3:$I$256,8,FALSE)</f>
        <v>Follow-up inquiries for DoD 5220.22-M and/or SP800-88 standards will be institution specific.</v>
      </c>
    </row>
    <row r="153" spans="1:5" ht="75">
      <c r="A153" s="23" t="str">
        <f>'HECVAT - Full | Vendor Response'!A161</f>
        <v>DATA-21</v>
      </c>
      <c r="B153" s="23" t="str">
        <f>VLOOKUP($A153,Questions!$B$3:$I$256,2,FALSE)</f>
        <v>Is media used for long-term retention of business data and archival purposes stored in a secure, environmentally protected area?</v>
      </c>
      <c r="C153" s="23" t="str">
        <f>VLOOKUP($A153,Questions!$B$3:$I$256,7,FALSE)</f>
        <v xml:space="preserve">Managing media (and the data within) throughout its lifecycle is crucial to the protection of institutional data. The focus of this question is confidentiality, ensuring that media that may store institutional data is protected by well-established policy and procedure. </v>
      </c>
      <c r="D153" s="23" t="str">
        <f>VLOOKUP($A153,Questions!$B$3:$I$256,8,FALSE)</f>
        <v>Vague responses to this question should be investigated further. Ask for additional documentation and verify that procedure (and possibly training) exists to ensure proper media handling activity.</v>
      </c>
    </row>
    <row r="154" spans="1:5" ht="54" customHeight="1">
      <c r="A154" s="23" t="str">
        <f>'HECVAT - Full | Vendor Response'!A162</f>
        <v>DATA-22</v>
      </c>
      <c r="B154" s="23" t="str">
        <f>VLOOKUP($A154,Questions!$B$3:$I$256,2,FALSE)</f>
        <v>Will you handle data in a FERPA-compliant manner?</v>
      </c>
      <c r="C154" s="23" t="str">
        <f>VLOOKUP($A154,Questions!$B$3:$I$256,7,FALSE)</f>
        <v>Standard documentation, relevant to institution implementations requiring FERPA compliance.</v>
      </c>
      <c r="D154" s="23" t="str">
        <f>VLOOKUP($A154,Questions!$B$3:$I$256,8,FALSE)</f>
        <v>Follow-up inquiries for FERPA compliance details will be institution/implementation specific.</v>
      </c>
    </row>
    <row r="155" spans="1:5" ht="90">
      <c r="A155" s="23" t="str">
        <f>'HECVAT - Full | Vendor Response'!A163</f>
        <v>DATA-23</v>
      </c>
      <c r="B155" s="23" t="str">
        <f>VLOOKUP($A155,Questions!$B$3:$I$256,2,FALSE)</f>
        <v>Does your staff (or third party) have access to institutional data (e.g., financial, PHI or other sensitive information) through any means?</v>
      </c>
      <c r="C155" s="23" t="str">
        <f>VLOOKUP($A155,Questions!$B$3:$I$256,7,FALSE)</f>
        <v>Confidentiality is the focus of this question. Based on the capabilities of vendor administrators, the institution may require additional safeguards to protect the confidentiality of data stored by/shared with a vendor (e.g., additional layer of encryption, etc.).</v>
      </c>
      <c r="D155" s="23" t="str">
        <f>VLOOKUP($A155,Questions!$B$3:$I$256,8,FALSE)</f>
        <v>If institutional data is visible by the vendor's system administrators, follow up with the vendor to understand the scope of visibility, process/procedure that administrators follow, and use cases when administrators are allowed to access (view) institutional data.</v>
      </c>
    </row>
    <row r="156" spans="1:5" ht="210">
      <c r="A156" s="23" t="str">
        <f>'HECVAT - Full | Vendor Response'!A164</f>
        <v>DATA-24</v>
      </c>
      <c r="B156" s="23" t="str">
        <f>VLOOKUP($A156,Questions!$B$3:$I$256,2,FALSE)</f>
        <v>Do you have a documented and currently implemented strategy for securing employee workstations when they work remotely (i.e., not in a trusted computing environment)?</v>
      </c>
      <c r="C156" s="23" t="str">
        <f>VLOOKUP($A156,Questions!$B$3:$I$256,7,FALSE)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v>
      </c>
      <c r="D156" s="23" t="str">
        <f>VLOOKUP($A156,Questions!$B$3:$I$256,8,FALSE)</f>
        <v>Vague responses to this question should be investigated further. Ask for additional documentation and verify that procedure (and possibly training) exists to ensure proper customer data handling activity.</v>
      </c>
      <c r="E156" s="238" t="s">
        <v>91</v>
      </c>
    </row>
    <row r="157" spans="1:5" ht="36" customHeight="1">
      <c r="A157" s="283" t="str">
        <f>IF($C$31="","Datacenter",IF($C$31="Yes","Datacenter - Optional based on QUALIFIER response.","Datacenter"))</f>
        <v>Datacenter</v>
      </c>
      <c r="B157" s="283"/>
      <c r="C157" s="18" t="str">
        <f>$C$23</f>
        <v>Reason for Question</v>
      </c>
      <c r="D157" s="18" t="str">
        <f>$D$23</f>
        <v>Follow-up Inquiries/Responses</v>
      </c>
    </row>
    <row r="158" spans="1:5" ht="180">
      <c r="A158" s="23" t="str">
        <f>'HECVAT - Full | Vendor Response'!A166</f>
        <v>DCTR-01</v>
      </c>
      <c r="B158" s="23" t="str">
        <f>VLOOKUP($A158,Questions!$B$3:$I$256,2,FALSE)</f>
        <v>Does the hosting provider have a SOC 2 Type 2 report available?</v>
      </c>
      <c r="C158" s="23" t="str">
        <f>VLOOKUP($A158,Questions!$B$3:$I$256,7,FALSE)</f>
        <v>This question is relative to the response above. Understanding the ownership structure of the facility that will host institutional data is important for setting availability expectations and ensure proper contract terms are in place to protect the institution due to use of third parties. If a vendor uses a third-party vendor to provide data center solutions, having that vendor's SOC 2 Type 2 provides additional insight. The ability to assess these "forth-party" vendors is based on your institution's resources. The vendor is responsible for providing this information; ensure that they handle their vendors properly.</v>
      </c>
      <c r="D158" s="23" t="str">
        <f>VLOOKUP($A158,Questions!$B$3:$I$256,8,FALSE)</f>
        <v>Follow-up inquiries for additional vendor's SOC 2 Type 2 reports will be institution/implementation specific.</v>
      </c>
    </row>
    <row r="159" spans="1:5" ht="150">
      <c r="A159" s="23" t="str">
        <f>'HECVAT - Full | Vendor Response'!A167</f>
        <v>DCTR-02</v>
      </c>
      <c r="B159" s="23" t="str">
        <f>VLOOKUP($A159,Questions!$B$3:$I$256,2,FALSE)</f>
        <v>Are you generally able to accommodate storing each institution's data within their geographic region?</v>
      </c>
      <c r="C159" s="23" t="str">
        <f>VLOOKUP($A159,Questions!$B$3:$I$256,7,FALSE)</f>
        <v>An institution's location will dictate what laws and regulations apply to them. Because vendors may not know where all of their customers reside, it is imperative that vendors are able to accommodate geographic requirements for their customers. Although it is unfair to expect support for all geographic regions in common infrastructure/platform/software-as-a-service, vendors are expected to be absolutely clear about the regions they leverage and/or support.</v>
      </c>
      <c r="D159" s="23" t="str">
        <f>VLOOKUP($A159,Questions!$B$3:$I$256,8,FALSE)</f>
        <v>If a vendor is unable to accommodate storing/processing institutional data within specific regions, ask them why they are unable to. Try to determine if it's an infrastructure issue (scalability), a cost-reduction strategy (size/maturity), or some other issue.</v>
      </c>
    </row>
    <row r="160" spans="1:5" ht="79.5" customHeight="1">
      <c r="A160" s="23" t="str">
        <f>'HECVAT - Full | Vendor Response'!A168</f>
        <v>DCTR-03</v>
      </c>
      <c r="B160" s="23" t="str">
        <f>VLOOKUP($A160,Questions!$B$3:$I$256,2,FALSE)</f>
        <v>Are the data centers staffed 24 hours a day, seven days a week (i.e., 24 x 7 x 365)?</v>
      </c>
      <c r="C160" s="23" t="str">
        <f>VLOOKUP($A160,Questions!$B$3:$I$256,7,FALSE)</f>
        <v xml:space="preserve">Vendors that operate their own datacenter(s) can implement their own monitoring strategy. Use the vendor's response to this questions to verify/validate other responses related to ownership/co-location/physical security. </v>
      </c>
      <c r="D160" s="23" t="str">
        <f>VLOOKUP($A160,Questions!$B$3:$I$256,8,FALSE)</f>
        <v>Follow-up inquiries for data center staffing will be institution/implementation specific.</v>
      </c>
    </row>
    <row r="161" spans="1:5" ht="90">
      <c r="A161" s="23" t="str">
        <f>'HECVAT - Full | Vendor Response'!A169</f>
        <v>DCTR-04</v>
      </c>
      <c r="B161" s="23" t="str">
        <f>VLOOKUP($A161,Questions!$B$3:$I$256,2,FALSE)</f>
        <v>Are your servers separated from other companies via a physical barrier, such as a cage or hardened walls?</v>
      </c>
      <c r="C161" s="23" t="str">
        <f>VLOOKUP($A161,Questions!$B$3:$I$256,7,FALSE)</f>
        <v xml:space="preserve">This question is primarily focused on system integrity. If institutional data is stored in a system that is not physically secured from unauthorized access, the need for compensating controls is often higher. Depending on the use case or vendor infrastructure, this may not be relevant. </v>
      </c>
      <c r="D161" s="23" t="str">
        <f>VLOOKUP($A161,Questions!$B$3:$I$256,8,FALSE)</f>
        <v>Follow-up inquiries for system physical security will be institution/implementation specific.</v>
      </c>
    </row>
    <row r="162" spans="1:5" ht="92.25" customHeight="1">
      <c r="A162" s="23" t="str">
        <f>'HECVAT - Full | Vendor Response'!A170</f>
        <v>DCTR-05</v>
      </c>
      <c r="B162" s="23" t="str">
        <f>VLOOKUP($A162,Questions!$B$3:$I$256,2,FALSE)</f>
        <v>Does a physical barrier fully enclose the physical space, preventing unauthorized physical contact with any of your devices?</v>
      </c>
      <c r="C162" s="23" t="str">
        <f>VLOOKUP($A162,Questions!$B$3:$I$256,7,FALSE)</f>
        <v xml:space="preserve">This question is primarily focused on system integrity. If institutional data is stored in a system that is not physically secured from unauthorized access, the need for compensating controls is often higher. Depending on the use case or vendor infrastructure, this may not be relevant. </v>
      </c>
      <c r="D162" s="23" t="str">
        <f>VLOOKUP($A162,Questions!$B$3:$I$256,8,FALSE)</f>
        <v>Follow-up inquiries for system physical security will be institution/implementation specific.</v>
      </c>
    </row>
    <row r="163" spans="1:5" ht="92.25" customHeight="1">
      <c r="A163" s="23" t="str">
        <f>'HECVAT - Full | Vendor Response'!A171</f>
        <v>DCTR-06</v>
      </c>
      <c r="B163" s="23" t="str">
        <f>VLOOKUP($A163,Questions!$B$3:$I$256,2,FALSE)</f>
        <v>Are your primary and secondary data centers geographically diverse?</v>
      </c>
      <c r="C163" s="23" t="str">
        <f>VLOOKUP($A163,Questions!$B$3:$I$256,7,FALSE)</f>
        <v>When planning for business continuity and disaster recovery, considering geographic diversity of a vendors operating environment will help analysts better understand risk due to widespread technical issues as well as weather and environmental considerations.</v>
      </c>
      <c r="D163" s="23" t="str">
        <f>VLOOKUP($A163,Questions!$B$3:$I$256,8,FALSE)</f>
        <v>Follow-up inquiries for geographic diversity in datacenters will be institution/implementation specific.</v>
      </c>
      <c r="E163" s="198"/>
    </row>
    <row r="164" spans="1:5" ht="90">
      <c r="A164" s="23" t="str">
        <f>'HECVAT - Full | Vendor Response'!A172</f>
        <v>DCTR-07</v>
      </c>
      <c r="B164" s="23" t="str">
        <f>VLOOKUP($A164,Questions!$B$3:$I$256,2,FALSE)</f>
        <v>If outsourced or co-located, is there a contract in place to prevent data from leaving the institution's data zone?</v>
      </c>
      <c r="C164" s="23" t="str">
        <f>VLOOKUP($A164,Questions!$B$3:$I$256,7,FALSE)</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64" s="23" t="str">
        <f>VLOOKUP($A164,Questions!$B$3:$I$256,8,FALSE)</f>
        <v>Follow-up inquiries for data backup procedures/practices will be institution/implementation specific.</v>
      </c>
    </row>
    <row r="165" spans="1:5" ht="45">
      <c r="A165" s="23" t="str">
        <f>'HECVAT - Full | Vendor Response'!A173</f>
        <v>DCTR-08</v>
      </c>
      <c r="B165" s="23" t="str">
        <f>VLOOKUP($A165,Questions!$B$3:$I$256,2,FALSE)</f>
        <v>What tier level is your data center (per levels defined by the Uptime Institute)?</v>
      </c>
      <c r="C165" s="23" t="str">
        <f>VLOOKUP($A165,Questions!$B$3:$I$256,7,FALSE)</f>
        <v>Standard documentation, relevant to institutions requiring a vendor to maintain a specific Uptime Institute Tier Level.</v>
      </c>
      <c r="D165" s="23" t="str">
        <f>VLOOKUP($A165,Questions!$B$3:$I$256,8,FALSE)</f>
        <v>Follow-up inquiries for Uptime Institute Tier Level details will be institution/implementation specific.</v>
      </c>
    </row>
    <row r="166" spans="1:5" ht="45">
      <c r="A166" s="23" t="str">
        <f>'HECVAT - Full | Vendor Response'!A174</f>
        <v>DCTR-09</v>
      </c>
      <c r="B166" s="23" t="str">
        <f>VLOOKUP($A166,Questions!$B$3:$I$256,2,FALSE)</f>
        <v>Is the service hosted in a high-availability environment?</v>
      </c>
      <c r="C166" s="23" t="str">
        <f>VLOOKUP($A166,Questions!$B$3:$I$256,7,FALSE)</f>
        <v xml:space="preserve">In the context of the CIA triad, this question is focused on the availability of a system (or set of systems). </v>
      </c>
      <c r="D166" s="23" t="str">
        <f>VLOOKUP($A166,Questions!$B$3:$I$256,8,FALSE)</f>
        <v>The weight placed on the vendor's response will be specific to the institution's use case and software/product/service requirements.</v>
      </c>
    </row>
    <row r="167" spans="1:5" ht="45">
      <c r="A167" s="23" t="str">
        <f>'HECVAT - Full | Vendor Response'!A175</f>
        <v>DCTR-10</v>
      </c>
      <c r="B167" s="23" t="str">
        <f>VLOOKUP($A167,Questions!$B$3:$I$256,2,FALSE)</f>
        <v xml:space="preserve">Is redundant power available for all data centers where institutional data will reside? </v>
      </c>
      <c r="C167" s="23" t="str">
        <f>VLOOKUP($A167,Questions!$B$3:$I$256,7,FALSE)</f>
        <v xml:space="preserve">In the context of the CIA triad, this question is focused on the availability of a system (or set of systems). </v>
      </c>
      <c r="D167" s="23" t="str">
        <f>VLOOKUP($A167,Questions!$B$3:$I$256,8,FALSE)</f>
        <v>The weight placed on the vendor's response will be specific to the institution's use case and software/product/service requirements.</v>
      </c>
    </row>
    <row r="168" spans="1:5" ht="75">
      <c r="A168" s="23" t="str">
        <f>'HECVAT - Full | Vendor Response'!A176</f>
        <v>DCTR-11</v>
      </c>
      <c r="B168" s="23" t="str">
        <f>VLOOKUP($A168,Questions!$B$3:$I$256,2,FALSE)</f>
        <v>Are redundant power strategies tested?</v>
      </c>
      <c r="C168" s="23" t="str">
        <f>VLOOKUP($A168,Questions!$B$3:$I$256,7,FALSE)</f>
        <v>Installing (potential) redundant power and regularly testing strategies to ensure they will work when needed are very different. Vague responses to this question should be met with concern and appropriate follow-up, based on your institutions risk tolerance.</v>
      </c>
      <c r="D168" s="23" t="str">
        <f>VLOOKUP($A168,Questions!$B$3:$I$256,8,FALSE)</f>
        <v>Follow-up inquiries for redundant power testing details will be institution/implementation specific.</v>
      </c>
    </row>
    <row r="169" spans="1:5" ht="48" customHeight="1">
      <c r="A169" s="23" t="str">
        <f>'HECVAT - Full | Vendor Response'!A177</f>
        <v>DCTR-12</v>
      </c>
      <c r="B169" s="23" t="str">
        <f>VLOOKUP($A169,Questions!$B$3:$I$256,2,FALSE)</f>
        <v>Describe or provide a reference to the availability of cooling and fire-suppression systems in all data centers where institution data will reside.</v>
      </c>
      <c r="C169" s="23" t="str">
        <f>VLOOKUP($A169,Questions!$B$3:$I$256,7,FALSE)</f>
        <v>Installing appropriate environmental controls is crucial to maintaining the integrity of the hosting site. Vague responses to this question should be met with concern and appropriate follow-up, based on your institutions risk tolerance.</v>
      </c>
      <c r="D169" s="23" t="str">
        <f>VLOOKUP($A169,Questions!$B$3:$I$256,8,FALSE)</f>
        <v>Follow-up inquiries for cooling and fire suppression systems will be institution/implementation specific.</v>
      </c>
      <c r="E169" s="198"/>
    </row>
    <row r="170" spans="1:5" ht="64.5" customHeight="1">
      <c r="A170" s="23" t="str">
        <f>'HECVAT - Full | Vendor Response'!A178</f>
        <v>DCTR-13</v>
      </c>
      <c r="B170" s="23" t="str">
        <f>VLOOKUP($A170,Questions!$B$3:$I$256,2,FALSE)</f>
        <v>Do you have Internet Service Provider (ISP) redundancy?</v>
      </c>
      <c r="C170" s="23" t="str">
        <f>VLOOKUP($A170,Questions!$B$3:$I$256,7,FALSE)</f>
        <v xml:space="preserve">In the context of the CIA triad, this question is focused on the availability of a system (or set of systems). </v>
      </c>
      <c r="D170" s="23" t="str">
        <f>VLOOKUP($A170,Questions!$B$3:$I$256,8,FALSE)</f>
        <v>The weight placed on the vendor's response will be specific to the institution's use case and software/product/service requirements.</v>
      </c>
    </row>
    <row r="171" spans="1:5" s="1" customFormat="1" ht="48" customHeight="1">
      <c r="A171" s="23" t="str">
        <f>'HECVAT - Full | Vendor Response'!A179</f>
        <v>DCTR-14</v>
      </c>
      <c r="B171" s="23" t="str">
        <f>VLOOKUP($A171,Questions!$B$3:$I$256,2,FALSE)</f>
        <v>Does every data center where the institution's data will reside have multiple telephone company or network provider entrances to the facility?</v>
      </c>
      <c r="C171" s="23" t="str">
        <f>VLOOKUP($A171,Questions!$B$3:$I$256,7,FALSE)</f>
        <v xml:space="preserve">In the context of the CIA triad, this question is focused on the availability of a system (or set of systems). </v>
      </c>
      <c r="D171" s="23" t="str">
        <f>VLOOKUP($A171,Questions!$B$3:$I$256,8,FALSE)</f>
        <v>The weight placed on the vendor's response will be specific to the institution's use case and software/product/service requirements.</v>
      </c>
    </row>
    <row r="172" spans="1:5" ht="60">
      <c r="A172" s="23" t="str">
        <f>'HECVAT - Full | Vendor Response'!A180</f>
        <v>DCTR-15</v>
      </c>
      <c r="B172" s="23" t="str">
        <f>VLOOKUP($A172,Questions!$B$3:$I$256,2,FALSE)</f>
        <v>Are you requiring multi-factor authentication for administrators of your cloud environment?</v>
      </c>
      <c r="C172" s="23" t="str">
        <f>VLOOKUP($A172,Questions!$B$3:$I$256,7,FALSE)</f>
        <v xml:space="preserve">2FA/MFA, implemented correctly, strengthens the security state of a system. 2FA/MFA is commonly implemented and in many use cases is a requirement for account protection purposes. </v>
      </c>
      <c r="D172" s="23" t="str">
        <f>VLOOKUP($A172,Questions!$B$3:$I$256,8,FALSE)</f>
        <v>Ask the vendor about hardware and software options, future roadmap for implementations and support, etc.</v>
      </c>
    </row>
    <row r="173" spans="1:5" ht="48" customHeight="1">
      <c r="A173" s="23" t="str">
        <f>'HECVAT - Full | Vendor Response'!A181</f>
        <v>DCTR-16</v>
      </c>
      <c r="B173" s="23" t="str">
        <f>VLOOKUP($A173,Questions!$B$3:$I$256,2,FALSE)</f>
        <v>Are you using your cloud providers available hardening tools or pre-hardened images?</v>
      </c>
      <c r="C173" s="23" t="str">
        <f>VLOOKUP($A173,Questions!$B$3:$I$256,7,FALSE)</f>
        <v xml:space="preserve">In the context of the CIA triad, this question is focused on the integrity of a system (or set of systems). </v>
      </c>
      <c r="D173" s="23" t="str">
        <f>VLOOKUP($A173,Questions!$B$3:$I$256,8,FALSE)</f>
        <v>Ask the vendor about their system lifecycle practices and security methodology.</v>
      </c>
    </row>
    <row r="174" spans="1:5" ht="105">
      <c r="A174" s="23" t="str">
        <f>'HECVAT - Full | Vendor Response'!A182</f>
        <v>DCTR-17</v>
      </c>
      <c r="B174" s="23" t="str">
        <f>VLOOKUP($A174,Questions!$B$3:$I$256,2,FALSE)</f>
        <v>Does your cloud vendor have access to your encryption keys?</v>
      </c>
      <c r="C174" s="23" t="str">
        <f>VLOOKUP($A174,Questions!$B$3:$I$256,7,FALSE)</f>
        <v>Understanding how key management is handled and the safeguards implemented by the vendor to ensure key confidentiality in all components of a system(s) can provide insight into other complex details of a vendor's infrastructure. Use vendor responses to this question as a way to pivot to other infrastructure specifics, as needed to clarify potential risks.</v>
      </c>
      <c r="D174" s="23" t="str">
        <f>VLOOKUP($A174,Questions!$B$3:$I$256,8,FALSE)</f>
        <v>Follow-up with the vendor to ensure that all components of the system are considered. This includes system-to-system, system-to-client, applications, system accounts, etc.</v>
      </c>
      <c r="E174" s="238" t="s">
        <v>91</v>
      </c>
    </row>
    <row r="175" spans="1:5" ht="36" customHeight="1">
      <c r="A175" s="283" t="str">
        <f>IF(OR($C$29="No",$C$31="Yes"),"DRP - Respond to as many questions below as possible.","Disaster Recovery Plan")</f>
        <v>Disaster Recovery Plan</v>
      </c>
      <c r="B175" s="283"/>
      <c r="C175" s="18" t="str">
        <f>$C$23</f>
        <v>Reason for Question</v>
      </c>
      <c r="D175" s="18" t="str">
        <f>$D$23</f>
        <v>Follow-up Inquiries/Responses</v>
      </c>
    </row>
    <row r="176" spans="1:5" ht="111.75" customHeight="1">
      <c r="A176" s="23" t="str">
        <f>'HECVAT - Full | Vendor Response'!A184</f>
        <v>DRPL-01</v>
      </c>
      <c r="B176" s="23" t="str">
        <f>VLOOKUP($A176,Questions!$B$3:$I$256,2,FALSE)</f>
        <v>Describe or provide a reference to your Disaster Recovery Plan (DRP).</v>
      </c>
      <c r="C176" s="23" t="str">
        <f>VLOOKUP($A176,Questions!$B$3:$I$256,7,FALSE)</f>
        <v xml:space="preserve">In the context of the CIA triad, this question is focused on availability and is often in need of a follow-up. Understanding the maturing of a vendor's DRP can shed light on many other aspects of a vendor's overall security state. </v>
      </c>
      <c r="D176" s="23" t="str">
        <f>VLOOKUP($A176,Questions!$B$3:$I$256,8,FALSE)</f>
        <v>A vendor may have a number of BCP elements defined so the vendor's response may not be binary. Assess the components of the plan and ask about timelines, follow-up commitments, etc. If the vendor does not have a DRP, point them to https://www.sans.org/reading-room/whitepapers/recovery/disaster-recovery-plan-1164</v>
      </c>
    </row>
    <row r="177" spans="1:5" ht="64.5" customHeight="1">
      <c r="A177" s="23" t="str">
        <f>'HECVAT - Full | Vendor Response'!A185</f>
        <v>DRPL-02</v>
      </c>
      <c r="B177" s="23" t="str">
        <f>VLOOKUP($A177,Questions!$B$3:$I$256,2,FALSE)</f>
        <v>Is an owner assigned who is responsible for the maintenance and review of the DRP?</v>
      </c>
      <c r="C177" s="23" t="str">
        <f>VLOOKUP($A177,Questions!$B$3:$I$256,7,FALSE)</f>
        <v>Having a DRP and maintaining/updating/testing a DRP are very different. Establishing a responsible party is fundamental to this process, and this question looks to verify that within the vendor.</v>
      </c>
      <c r="D177" s="23" t="str">
        <f>VLOOKUP($A177,Questions!$B$3:$I$256,8,FALSE)</f>
        <v>Follow-up inquiries for DRP responsible parties will be institution/implementation specific.</v>
      </c>
    </row>
    <row r="178" spans="1:5" ht="60">
      <c r="A178" s="23" t="str">
        <f>'HECVAT - Full | Vendor Response'!A186</f>
        <v>DRPL-03</v>
      </c>
      <c r="B178" s="23" t="str">
        <f>VLOOKUP($A178,Questions!$B$3:$I$256,2,FALSE)</f>
        <v>Can the institution review your DRP and supporting documentation?</v>
      </c>
      <c r="C178" s="23" t="str">
        <f>VLOOKUP($A178,Questions!$B$3:$I$256,7,FALSE)</f>
        <v>General inquiry for documentation. As DRPs may contain some sensitive data, a robust summary is appropriate in lieu of a full DRP.</v>
      </c>
      <c r="D178" s="23" t="str">
        <f>VLOOKUP($A178,Questions!$B$3:$I$256,8,FALSE)</f>
        <v>If the vendor states "No," you can ask for a summary, white paper, or blog. If unable to review the full plan, infer what you can from other DRP question responses.</v>
      </c>
    </row>
    <row r="179" spans="1:5" ht="90">
      <c r="A179" s="23" t="str">
        <f>'HECVAT - Full | Vendor Response'!A187</f>
        <v>DRPL-04</v>
      </c>
      <c r="B179" s="23" t="str">
        <f>VLOOKUP($A179,Questions!$B$3:$I$256,2,FALSE)</f>
        <v>Are any disaster recovery locations outside the institution's geographic region?</v>
      </c>
      <c r="C179" s="23" t="str">
        <f>VLOOKUP($A179,Questions!$B$3:$I$256,7,FALSE)</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79" s="23" t="str">
        <f>VLOOKUP($A179,Questions!$B$3:$I$256,8,FALSE)</f>
        <v>Follow-up inquiries for data backup procedures/practices will be institution/implementation specific.</v>
      </c>
    </row>
    <row r="180" spans="1:5" ht="84.75" customHeight="1">
      <c r="A180" s="23" t="str">
        <f>'HECVAT - Full | Vendor Response'!A188</f>
        <v>DRPL-05</v>
      </c>
      <c r="B180" s="23" t="str">
        <f>VLOOKUP($A180,Questions!$B$3:$I$256,2,FALSE)</f>
        <v>Does your organization have a disaster recovery site or a contracted disaster recovery provider?</v>
      </c>
      <c r="C180" s="23" t="str">
        <f>VLOOKUP($A180,Questions!$B$3:$I$256,7,FALSE)</f>
        <v>In the event that a vendor's headquarters (primary location of operation) is no longer usable, a recovery site may be needed to support business operations. Having an established (planned) recovery site show maturity in a vendor's DRP.</v>
      </c>
      <c r="D180" s="23" t="str">
        <f>VLOOKUP($A180,Questions!$B$3:$I$256,8,FALSE)</f>
        <v>Follow-up inquiries for disaster recovery site practices will be institution/implementation specific.</v>
      </c>
    </row>
    <row r="181" spans="1:5" ht="75">
      <c r="A181" s="23" t="str">
        <f>'HECVAT - Full | Vendor Response'!A189</f>
        <v>DRPL-06</v>
      </c>
      <c r="B181" s="23" t="str">
        <f>VLOOKUP($A181,Questions!$B$3:$I$256,2,FALSE)</f>
        <v>Does your organization conduct an annual test of relocating to this site for disaster recovery purposes?</v>
      </c>
      <c r="C181" s="23" t="str">
        <f>VLOOKUP($A181,Questions!$B$3:$I$256,7,FALSE)</f>
        <v>Testing a DRP is an important action that improves the efficiency and accuracy of a vendor's recovery plans. Vague responses to this question should be met with concern and appropriate follow-up, based on your institutions risk tolerance.</v>
      </c>
      <c r="D181" s="23" t="str">
        <f>VLOOKUP($A181,Questions!$B$3:$I$256,8,FALSE)</f>
        <v>If the vendor does not have a DRP, point them to https://www.sans.org/reading-room/whitepapers/recovery/disaster-recovery-plan-1164</v>
      </c>
    </row>
    <row r="182" spans="1:5" ht="60">
      <c r="A182" s="23" t="str">
        <f>'HECVAT - Full | Vendor Response'!A190</f>
        <v>DRPL-07</v>
      </c>
      <c r="B182" s="23" t="str">
        <f>VLOOKUP($A182,Questions!$B$3:$I$256,2,FALSE)</f>
        <v>Is there a defined problem/issue escalation plan in your DRP for impacted clients?</v>
      </c>
      <c r="C182" s="23" t="str">
        <f>VLOOKUP($A182,Questions!$B$3:$I$256,7,FALSE)</f>
        <v>Notification expectations should be set early in the contract/assessment process. Timelines, correspondence medium, and playbook details are all aspects to keep in mind when assessing this response.</v>
      </c>
      <c r="D182" s="23" t="str">
        <f>VLOOKUP($A182,Questions!$B$3:$I$256,8,FALSE)</f>
        <v>If the vendor's response does not cover the details outlined in the reasoning, follow-up and get specific responses for each, as needed.</v>
      </c>
    </row>
    <row r="183" spans="1:5" ht="60">
      <c r="A183" s="23" t="str">
        <f>'HECVAT - Full | Vendor Response'!A191</f>
        <v>DRPL-08</v>
      </c>
      <c r="B183" s="23" t="str">
        <f>VLOOKUP($A183,Questions!$B$3:$I$256,2,FALSE)</f>
        <v>Is there a documented communication plan in your DRP for impacted clients?</v>
      </c>
      <c r="C183" s="23" t="str">
        <f>VLOOKUP($A183,Questions!$B$3:$I$256,7,FALSE)</f>
        <v>Notification expectations should be set early in the contract/assessment process. Timelines, correspondence medium, and playbook details are all aspects to keep in mind when assessing this response.</v>
      </c>
      <c r="D183" s="23" t="str">
        <f>VLOOKUP($A183,Questions!$B$3:$I$256,8,FALSE)</f>
        <v>If the vendor's response does not cover the details outlined in the reasoning, follow-up and get specific responses for each, as needed.</v>
      </c>
    </row>
    <row r="184" spans="1:5" ht="83.25" customHeight="1">
      <c r="A184" s="23" t="str">
        <f>'HECVAT - Full | Vendor Response'!A192</f>
        <v>DRPL-09</v>
      </c>
      <c r="B184" s="23" t="str">
        <f>VLOOKUP($A184,Questions!$B$3:$I$256,2,FALSE)</f>
        <v>Describe or provide a reference to how your disaster recovery plan is tested. (i.e., scope of DR tests, end-to-end testing, etc.)</v>
      </c>
      <c r="C184" s="23" t="str">
        <f>VLOOKUP($A184,Questions!$B$3:$I$256,7,FALSE)</f>
        <v xml:space="preserve">Testing a DRP is an important action that improves the efficiency and accuracy of a vendor's recovery plans. Vague responses to this question should be met with concern and appropriate follow-up, based on your institutions risk tolerance. </v>
      </c>
      <c r="D184" s="23" t="str">
        <f>VLOOKUP($A184,Questions!$B$3:$I$256,8,FALSE)</f>
        <v>If the vendor does not have a DRP, point them to https://www.sans.org/reading-room/whitepapers/recovery/disaster-recovery-plan-1164</v>
      </c>
    </row>
    <row r="185" spans="1:5" ht="83.25" customHeight="1">
      <c r="A185" s="23" t="str">
        <f>'HECVAT - Full | Vendor Response'!A193</f>
        <v>DRPL-10</v>
      </c>
      <c r="B185" s="23" t="str">
        <f>VLOOKUP($A185,Questions!$B$3:$I$256,2,FALSE)</f>
        <v>Has the Disaster Recovery Plan been tested in the past year?</v>
      </c>
      <c r="C185" s="23" t="str">
        <f>VLOOKUP($A185,Questions!$B$3:$I$256,7,FALSE)</f>
        <v>Testing a DRP is an important action that improves the efficiency and accuracy of a vendor's recovery plans. Vague responses to this question should be met with concern and appropriate follow-up, based on your institutions risk tolerance.</v>
      </c>
      <c r="D185" s="23" t="str">
        <f>VLOOKUP($A185,Questions!$B$3:$I$256,8,FALSE)</f>
        <v>If the vendor does not have a DRP, point them to https://www.sans.org/reading-room/whitepapers/recovery/disaster-recovery-plan-1164</v>
      </c>
    </row>
    <row r="186" spans="1:5" ht="75">
      <c r="A186" s="23" t="str">
        <f>'HECVAT - Full | Vendor Response'!A194</f>
        <v>DRPL-11</v>
      </c>
      <c r="B186" s="23" t="str">
        <f>VLOOKUP($A186,Questions!$B$3:$I$256,2,FALSE)</f>
        <v>Are all components of the DRP reviewed at least annually and updated as needed to reflect change?</v>
      </c>
      <c r="C186" s="23" t="str">
        <f>VLOOKUP($A186,Questions!$B$3:$I$256,7,FALSE)</f>
        <v>Testing a DRP is an important action that improves the efficiency and accuracy of a vendor's recovery plans. Vague responses to this question should be met with concern and appropriate follow-up, based on your institutions risk tolerance.</v>
      </c>
      <c r="D186" s="23" t="str">
        <f>VLOOKUP($A186,Questions!$B$3:$I$256,8,FALSE)</f>
        <v>If the vendor does not have a DRP, point them to https://www.sans.org/reading-room/whitepapers/recovery/disaster-recovery-plan-1164</v>
      </c>
      <c r="E186" s="238" t="s">
        <v>91</v>
      </c>
    </row>
    <row r="187" spans="1:5" ht="36" customHeight="1">
      <c r="A187" s="283" t="str">
        <f>IF($C$31="","Firewalls, IDS, IPS, and Networking",IF($C$31="Yes","FW/IDPS/Networks - Optional based on QUALIFIER response.","Firewalls, IDS, IPS, and Networking"))</f>
        <v>Firewalls, IDS, IPS, and Networking</v>
      </c>
      <c r="B187" s="283"/>
      <c r="C187" s="18" t="str">
        <f>$C$23</f>
        <v>Reason for Question</v>
      </c>
      <c r="D187" s="18" t="str">
        <f>$D$23</f>
        <v>Follow-up Inquiries/Responses</v>
      </c>
    </row>
    <row r="188" spans="1:5" ht="120">
      <c r="A188" s="23" t="str">
        <f>'HECVAT - Full | Vendor Response'!A196</f>
        <v>FIDP-01</v>
      </c>
      <c r="B188" s="23" t="str">
        <f>VLOOKUP($A188,Questions!$B$3:$I$256,2,FALSE)</f>
        <v>Are you utilizing a stateful packet inspection (SPI) firewall?</v>
      </c>
      <c r="C188" s="23" t="str">
        <f>VLOOKUP($A188,Questions!$B$3:$I$256,7,FALSE)</f>
        <v xml:space="preserve">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v>
      </c>
      <c r="D188" s="23" t="str">
        <f>VLOOKUP($A188,Questions!$B$3:$I$256,8,FALSE)</f>
        <v>If a vendor states that they outsource their code development and do not run a WAF, there is elevated reason for concern. Verify how code is tested, monitored, and controlled in production environments.</v>
      </c>
    </row>
    <row r="189" spans="1:5" ht="75">
      <c r="A189" s="23" t="str">
        <f>'HECVAT - Full | Vendor Response'!A197</f>
        <v>FIDP-02</v>
      </c>
      <c r="B189" s="23" t="str">
        <f>VLOOKUP($A189,Questions!$B$3:$I$256,2,FALSE)</f>
        <v>Is authority for firewall change approval documented? Please list approver names or titles in Additional Info</v>
      </c>
      <c r="C189" s="23" t="str">
        <f>VLOOKUP($A189,Questions!$B$3:$I$256,7,FALSE)</f>
        <v xml:space="preserve">Modifications to firewall rule sets can have significant repercussions. To ensure the integrity of the rule set, this question targets the individual (or responsible party) for changes and the reasoning behind their authority. </v>
      </c>
      <c r="D189" s="23" t="str">
        <f>VLOOKUP($A189,Questions!$B$3:$I$256,8,FALSE)</f>
        <v>Ensure that a separation of duties exists in network security configurations. Pay close attention to responsibility overlap in small organizations, where staff often fill multiple roles.</v>
      </c>
    </row>
    <row r="190" spans="1:5" ht="90">
      <c r="A190" s="23" t="str">
        <f>'HECVAT - Full | Vendor Response'!A198</f>
        <v>FIDP-03</v>
      </c>
      <c r="B190" s="23" t="str">
        <f>VLOOKUP($A190,Questions!$B$3:$I$256,2,FALSE)</f>
        <v>Do you have a documented policy for firewall change requests?</v>
      </c>
      <c r="C190" s="23" t="str">
        <f>VLOOKUP($A190,Questions!$B$3:$I$256,7,FALSE)</f>
        <v>In the context of the CIA triad, this question is focused on system integrity, ensuring that system changes are only executed by authorized users. Any change to a verified, known, secure environment should be carefully evaluated by stakeholders in a structured manner.</v>
      </c>
      <c r="D190" s="23" t="str">
        <f>VLOOKUP($A190,Questions!$B$3:$I$256,8,FALSE)</f>
        <v>Follow-up inquiries for firewall change requests will be institution/implementation specific.</v>
      </c>
    </row>
    <row r="191" spans="1:5" ht="96" customHeight="1">
      <c r="A191" s="23" t="str">
        <f>'HECVAT - Full | Vendor Response'!A199</f>
        <v>FIDP-04</v>
      </c>
      <c r="B191" s="23" t="str">
        <f>VLOOKUP($A191,Questions!$B$3:$I$256,2,FALSE)</f>
        <v>Have you implemented an Intrusion Detection System (network-based)?</v>
      </c>
      <c r="C191" s="23" t="str">
        <f>VLOOKUP($A191,Questions!$B$3:$I$256,7,FALSE)</f>
        <v>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v>
      </c>
      <c r="D191" s="23" t="str">
        <f>VLOOKUP($A191,Questions!$B$3:$I$256,8,FALSE)</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92" spans="1:5" ht="90">
      <c r="A192" s="23" t="str">
        <f>'HECVAT - Full | Vendor Response'!A200</f>
        <v>FIDP-05</v>
      </c>
      <c r="B192" s="23" t="str">
        <f>VLOOKUP($A192,Questions!$B$3:$I$256,2,FALSE)</f>
        <v>Have you implemented an Intrusion Prevention System (network-based)?</v>
      </c>
      <c r="C192" s="23" t="str">
        <f>VLOOKUP($A192,Questions!$B$3:$I$256,7,FALSE)</f>
        <v>It is important to have preventive capabilities in an information system to protect institutional data. Because this is somewhat expected in information systems, vendors without IPSs implemented should raise concerns. Compensating controls need future evaluation, if provided by the vendor.</v>
      </c>
      <c r="D192" s="23" t="str">
        <f>VLOOKUP($A192,Questions!$B$3:$I$256,8,FALSE)</f>
        <v xml:space="preserve">A security program with limited resources for active prevent is inefficient. Inquiries should include training for staff, reasoning behind not using IPS technologies, and how systems are actively protected and how malicious activity is stopped. </v>
      </c>
    </row>
    <row r="193" spans="1:5" ht="90">
      <c r="A193" s="23" t="str">
        <f>'HECVAT - Full | Vendor Response'!A201</f>
        <v>FIDP-06</v>
      </c>
      <c r="B193" s="23" t="str">
        <f>VLOOKUP($A193,Questions!$B$3:$I$256,2,FALSE)</f>
        <v>Do you employ host-based intrusion detection?</v>
      </c>
      <c r="C193" s="23" t="str">
        <f>VLOOKUP($A193,Questions!$B$3:$I$256,7,FALSE)</f>
        <v>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v>
      </c>
      <c r="D193" s="23" t="str">
        <f>VLOOKUP($A193,Questions!$B$3:$I$256,8,FALSE)</f>
        <v>Ask the vendor to summarize why host-based intrusion detection tools are not implemented in their environment. What compensating controls are in place to detect configuration changes and/or failures of integrity?</v>
      </c>
    </row>
    <row r="194" spans="1:5" ht="90">
      <c r="A194" s="23" t="str">
        <f>'HECVAT - Full | Vendor Response'!A202</f>
        <v>FIDP-07</v>
      </c>
      <c r="B194" s="23" t="str">
        <f>VLOOKUP($A194,Questions!$B$3:$I$256,2,FALSE)</f>
        <v>Do you employ host-based intrusion prevention?</v>
      </c>
      <c r="C194" s="23" t="str">
        <f>VLOOKUP($A194,Questions!$B$3:$I$256,7,FALSE)</f>
        <v>It is important to have preventive capabilities in an information system to protect institutional data. Because this is somewhat expected in information systems, vendors without IPSs implemented should raise concerns. Compensating controls need future evaluation, if provided by the vendor.</v>
      </c>
      <c r="D194" s="23" t="str">
        <f>VLOOKUP($A194,Questions!$B$3:$I$256,8,FALSE)</f>
        <v>Ask the vendor to summarize why host-based intrusion prevention tools are not implemented in their environment. What compensating controls are in place to detect malicious activity and to actively prevent its function.</v>
      </c>
    </row>
    <row r="195" spans="1:5" ht="84.75" customHeight="1">
      <c r="A195" s="23" t="str">
        <f>'HECVAT - Full | Vendor Response'!A203</f>
        <v>FIDP-08</v>
      </c>
      <c r="B195" s="23" t="str">
        <f>VLOOKUP($A195,Questions!$B$3:$I$256,2,FALSE)</f>
        <v>Are you employing any next-generation persistent threat (NGPT) monitoring?</v>
      </c>
      <c r="C195" s="23" t="str">
        <f>VLOOKUP($A195,Questions!$B$3:$I$256,7,FALSE)</f>
        <v>This question is primarily focused on determining the maturity of a vendor's security program and their ability to implement and operate cutting-edge technologies. Investment in advanced technologies may indicate appropriate security program capabilities.</v>
      </c>
      <c r="D195" s="23" t="str">
        <f>VLOOKUP($A195,Questions!$B$3:$I$256,8,FALSE)</f>
        <v>Follow-up inquiries for next-generation persistent threat monitoring will be institution/implementation specific.</v>
      </c>
      <c r="E195" s="198"/>
    </row>
    <row r="196" spans="1:5" ht="90">
      <c r="A196" s="23" t="str">
        <f>'HECVAT - Full | Vendor Response'!A204</f>
        <v>FIDP-09</v>
      </c>
      <c r="B196" s="23" t="str">
        <f>VLOOKUP($A196,Questions!$B$3:$I$256,2,FALSE)</f>
        <v>Do you monitor for intrusions on a 24 x 7 x 365 basis?</v>
      </c>
      <c r="C196" s="23" t="str">
        <f>VLOOKUP($A196,Questions!$B$3:$I$256,7,FALSE)</f>
        <v xml:space="preserve">This question is primarily focused on system(s) integrity. If institutional data is stored in a system that is not physically secured from unauthorized access, the need for compensating controls is often higher. Depending on the use case or vendor infrastructure, this may not be relevant. </v>
      </c>
      <c r="D196" s="23" t="str">
        <f>VLOOKUP($A196,Questions!$B$3:$I$256,8,FALSE)</f>
        <v>Follow-up inquiries for 24 x 7 x 365 monitoring will be institution/implementation specific.</v>
      </c>
    </row>
    <row r="197" spans="1:5" ht="83.25" customHeight="1">
      <c r="A197" s="23" t="str">
        <f>'HECVAT - Full | Vendor Response'!A205</f>
        <v>FIDP-10</v>
      </c>
      <c r="B197" s="23" t="str">
        <f>VLOOKUP($A197,Questions!$B$3:$I$256,2,FALSE)</f>
        <v>Is intrusion monitoring performed internally or by a third-party service?</v>
      </c>
      <c r="C197" s="23" t="str">
        <f>VLOOKUP($A197,Questions!$B$3:$I$256,7,FALSE)</f>
        <v>This question is primarily focused on the capability of a vendor's security program. Understanding the size and skillsets of a vendor (taken from other responses) is needed to determine the appropriateness of the vendor's response to this question.</v>
      </c>
      <c r="D197" s="23" t="str">
        <f>VLOOKUP($A197,Questions!$B$3:$I$256,8,FALSE)</f>
        <v>Follow-up inquiries for intrusion monitoring will be institution/implementation specific.</v>
      </c>
    </row>
    <row r="198" spans="1:5" ht="105">
      <c r="A198" s="23" t="str">
        <f>'HECVAT - Full | Vendor Response'!A206</f>
        <v>FIDP-11</v>
      </c>
      <c r="B198" s="23" t="str">
        <f>VLOOKUP($A198,Questions!$B$3:$I$256,2,FALSE)</f>
        <v>Are audit logs available for all changes to the network, firewall, IDS, and IPS systems?</v>
      </c>
      <c r="C198" s="23" t="str">
        <f>VLOOKUP($A198,Questions!$B$3:$I$256,7,FALSE)</f>
        <v>Strong logging capabilities are vital to the proper management of a network. Implementing an immature system that lacks sufficient logging capabilities exposes an institution to great risk.</v>
      </c>
      <c r="D198" s="23" t="str">
        <f>VLOOKUP($A198,Questions!$B$3:$I$256,8,FALSE)</f>
        <v>If a weak response is given to this answer, it is an indicator that a nontechnical representative populated the document and response scrutiny should be increased. 
If a vendor does not answer appropriately, a follow-up request to have the question fully answered is appropriate.</v>
      </c>
      <c r="E198" s="238" t="s">
        <v>91</v>
      </c>
    </row>
    <row r="199" spans="1:5" ht="36" customHeight="1">
      <c r="A199" s="283" t="str">
        <f>IF($C$31="","Policies, Procedures, and Processes",IF($C$31="Yes","Pol/Pro/Proc - Optional based on QUALIFIER response.","Policies, Procedures, and Processes"))</f>
        <v>Policies, Procedures, and Processes</v>
      </c>
      <c r="B199" s="283"/>
      <c r="C199" s="18" t="str">
        <f>$C$23</f>
        <v>Reason for Question</v>
      </c>
      <c r="D199" s="18" t="str">
        <f>$D$23</f>
        <v>Follow-up Inquiries/Responses</v>
      </c>
    </row>
    <row r="200" spans="1:5" ht="120">
      <c r="A200" s="23" t="str">
        <f>'HECVAT - Full | Vendor Response'!A208</f>
        <v>PPPR-01</v>
      </c>
      <c r="B200" s="23" t="str">
        <f>VLOOKUP($A200,Questions!$B$3:$I$256,2,FALSE)</f>
        <v>Can you share the organization chart, mission statement, and policies for your information security unit?</v>
      </c>
      <c r="C200" s="23" t="str">
        <f>VLOOKUP($A200,Questions!$B$3:$I$256,7,FALSE)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200" s="23" t="str">
        <f>VLOOKUP($A200,Questions!$B$3:$I$256,8,FALSE)</f>
        <v>Vague responses to this question should be investigated further. Vendors unwilling to share additional supporting documentation decrease the trust established with other responses.</v>
      </c>
    </row>
    <row r="201" spans="1:5" ht="75">
      <c r="A201" s="23" t="str">
        <f>'HECVAT - Full | Vendor Response'!A209</f>
        <v>PPPR-02</v>
      </c>
      <c r="B201" s="23" t="str">
        <f>VLOOKUP($A201,Questions!$B$3:$I$256,2,FALSE)</f>
        <v>Do you have a documented patch management process?</v>
      </c>
      <c r="C201" s="23" t="str">
        <f>VLOOKUP($A201,Questions!$B$3:$I$256,7,FALSE)</f>
        <v xml:space="preserve">In the context of the CIA triad, this question is focused on system integrity, ensuring that system changes are only executed according to policy. Additionally, it is expected that devices used to access the vendor's systems are properly managed and secured. </v>
      </c>
      <c r="D201" s="23" t="str">
        <f>VLOOKUP($A201,Questions!$B$3:$I$256,8,FALSE)</f>
        <v>Follow up with a robust question set if the vendor cannot clearly state full control of their system patching strategy. Questions about patch testing, testing environments, threat mitigation, incident remediation, etc. are appropriate.</v>
      </c>
    </row>
    <row r="202" spans="1:5" ht="90">
      <c r="A202" s="23" t="str">
        <f>'HECVAT - Full | Vendor Response'!A210</f>
        <v>PPPR-03</v>
      </c>
      <c r="B202" s="23" t="str">
        <f>VLOOKUP($A202,Questions!$B$3:$I$256,2,FALSE)</f>
        <v>Can you accommodate encryption requirements using open standards?</v>
      </c>
      <c r="C202" s="23" t="str">
        <f>VLOOKUP($A202,Questions!$B$3:$I$256,7,FALSE)</f>
        <v>Beware the use of proprietary encryption implementations. Open standard encryption, preferably mature, is often preferred. Although there may be cases in which that is not the case, be sure to understand the vendor's infrastructure and the true security of a vendor's solution.</v>
      </c>
      <c r="D202" s="23" t="str">
        <f>VLOOKUP($A202,Questions!$B$3:$I$256,8,FALSE)</f>
        <v xml:space="preserve">If the vendor cannot accommodate open standards encryption requirements, direct them to NIST's Cryptographic Standards and Guidelines document at https://csrc.nist.gov/Projects/Cryptographic-Standards-and-Guidelines </v>
      </c>
    </row>
    <row r="203" spans="1:5" ht="84.75" customHeight="1">
      <c r="A203" s="23" t="str">
        <f>'HECVAT - Full | Vendor Response'!A211</f>
        <v>PPPR-04</v>
      </c>
      <c r="B203" s="23" t="str">
        <f>VLOOKUP($A203,Questions!$B$3:$I$256,2,FALSE)</f>
        <v>Are information security principles designed into the product lifecycle?</v>
      </c>
      <c r="C203" s="23" t="str">
        <f>VLOOKUP($A203,Questions!$B$3:$I$256,7,FALSE)</f>
        <v>The adherence to secure coding best practices better positions a vendor to maintain the CIA triad. Use the knowledge of this response when evaluating other vendor statements, particularly those focused on development and the protection of communications.</v>
      </c>
      <c r="D203" s="23" t="str">
        <f>VLOOKUP($A203,Questions!$B$3:$I$256,8,FALSE)</f>
        <v>If information security principles are not designed into the product lifecycle, point the vendor to OWASP's Secure Coding Practices - Quick Reference Guide at https://www.owasp.org/index.php/OWASP_Secure_Coding_Practices_-_Quick_Reference_Guide</v>
      </c>
    </row>
    <row r="204" spans="1:5" ht="90">
      <c r="A204" s="23" t="str">
        <f>'HECVAT - Full | Vendor Response'!A212</f>
        <v>PPPR-05</v>
      </c>
      <c r="B204" s="23" t="str">
        <f>VLOOKUP($A204,Questions!$B$3:$I$256,2,FALSE)</f>
        <v>Do you have a documented systems development life cycle (SDLC)?</v>
      </c>
      <c r="C204" s="23" t="str">
        <f>VLOOKUP($A204,Questions!$B$3:$I$256,7,FALSE)</f>
        <v xml:space="preserve">Mature product/software/service lifecycle management can position a vendor to sufficiently plan, implement, and manage systems that better protect institutional data. </v>
      </c>
      <c r="D204" s="23" t="str">
        <f>VLOOKUP($A204,Questions!$B$3:$I$256,8,FALSE)</f>
        <v>Although withdrawn by NIST, the Security Considerations in the Systems Development Life Cycle (SP 800-64r2) document is an excellent resource to provide guidance to vendors (i.e., set expectations). Follow-up questions to SDLC use will be institution/implementation specific.</v>
      </c>
    </row>
    <row r="205" spans="1:5" ht="60">
      <c r="A205" s="23" t="str">
        <f>'HECVAT - Full | Vendor Response'!A213</f>
        <v>PPPR-06</v>
      </c>
      <c r="B205" s="23" t="str">
        <f>VLOOKUP($A205,Questions!$B$3:$I$256,2,FALSE)</f>
        <v>Will you comply with applicable breach notification laws?</v>
      </c>
      <c r="C205" s="23" t="str">
        <f>VLOOKUP($A205,Questions!$B$3:$I$256,7,FALSE)</f>
        <v>This is a general inquiry to determine if the vendor is well-versed in applicable laws and regulations that apply in the institution's region of business operation.</v>
      </c>
      <c r="D205" s="23" t="str">
        <f>VLOOKUP($A205,Questions!$B$3:$I$256,8,FALSE)</f>
        <v>If a vendor is vague in their response, follow up with direct questions about doing business in your state/region/country and any laws that are pertinent to the institution.</v>
      </c>
    </row>
    <row r="206" spans="1:5" ht="60">
      <c r="A206" s="23" t="str">
        <f>'HECVAT - Full | Vendor Response'!A214</f>
        <v>PPPR-07</v>
      </c>
      <c r="B206" s="23" t="str">
        <f>VLOOKUP($A206,Questions!$B$3:$I$256,2,FALSE)</f>
        <v>Will you comply with the institution's IT policies with regards to user privacy and data protection?</v>
      </c>
      <c r="C206" s="23" t="str">
        <f>VLOOKUP($A206,Questions!$B$3:$I$256,7,FALSE)</f>
        <v>This is a general inquiry to determine if the vendor has reviewed the institution's policies and is committed to complying with them.</v>
      </c>
      <c r="D206" s="23" t="str">
        <f>VLOOKUP($A206,Questions!$B$3:$I$256,8,FALSE)</f>
        <v>If a vendor is vague in their response, follow up with direct questions about the institution's policies and ensure the expectation of compliance is clear with the vendor.</v>
      </c>
    </row>
    <row r="207" spans="1:5" ht="60">
      <c r="A207" s="23" t="str">
        <f>'HECVAT - Full | Vendor Response'!A215</f>
        <v>PPPR-08</v>
      </c>
      <c r="B207" s="23" t="str">
        <f>VLOOKUP($A207,Questions!$B$3:$I$256,2,FALSE)</f>
        <v>Is your company subject to institution's geographic region's laws and regulations?</v>
      </c>
      <c r="C207" s="23" t="str">
        <f>VLOOKUP($A207,Questions!$B$3:$I$256,7,FALSE)</f>
        <v>This is a general inquiry to determine if the vendor is well-versed in applicable laws and regulations that apply in the institution's region of business operation.</v>
      </c>
      <c r="D207" s="23" t="str">
        <f>VLOOKUP($A207,Questions!$B$3:$I$256,8,FALSE)</f>
        <v>If a vendor is vague in their response, follow up with direct questions about doing business in your state/region/country and any laws that are pertinent to the institution.</v>
      </c>
    </row>
    <row r="208" spans="1:5" ht="90">
      <c r="A208" s="23" t="str">
        <f>'HECVAT - Full | Vendor Response'!A216</f>
        <v>PPPR-09</v>
      </c>
      <c r="B208" s="23" t="str">
        <f>VLOOKUP($A208,Questions!$B$3:$I$256,2,FALSE)</f>
        <v>Do you perform background screenings or multi-state background checks on all employees prior to their first day of work?</v>
      </c>
      <c r="C208" s="23" t="str">
        <f>VLOOKUP($A208,Questions!$B$3:$I$256,7,FALSE)</f>
        <v>The use of detective and preventive controls in the hiring process served a valuable role in protecting institutional data. As these are often HR documented policies, a vendor should have their practices well-documented and ready for review, upon request.</v>
      </c>
      <c r="D208" s="23" t="str">
        <f>VLOOKUP($A208,Questions!$B$3:$I$256,8,FALSE)</f>
        <v>Ask the vendor if background checks and/or screening are conducted in any capacity, at any time during the employment period. Ask about the precautions they take to ensure the intellectual property is secured and inquire if user data is treated in an appropriate manner.</v>
      </c>
    </row>
    <row r="209" spans="1:5" ht="75">
      <c r="A209" s="23" t="str">
        <f>'HECVAT - Full | Vendor Response'!A217</f>
        <v>PPPR-10</v>
      </c>
      <c r="B209" s="23" t="str">
        <f>VLOOKUP($A209,Questions!$B$3:$I$256,2,FALSE)</f>
        <v>Do you require new employees to fill out agreements and review policies?</v>
      </c>
      <c r="C209" s="23" t="str">
        <f>VLOOKUP($A209,Questions!$B$3:$I$256,7,FALSE)</f>
        <v>Setting the expectation of performance and increasing awareness of security-related responsibilities are part of these initial-hiring documents. Oftentimes these agreements and reviews are conducted during orientation for new employees.</v>
      </c>
      <c r="D209" s="23" t="str">
        <f>VLOOKUP($A209,Questions!$B$3:$I$256,8,FALSE)</f>
        <v>If a vendor's practices are not clear, inquire about training requirements for employees, especially the frequency and scope of content.</v>
      </c>
    </row>
    <row r="210" spans="1:5" ht="136.5" customHeight="1">
      <c r="A210" s="23" t="str">
        <f>'HECVAT - Full | Vendor Response'!A218</f>
        <v>PPPR-11</v>
      </c>
      <c r="B210" s="23" t="str">
        <f>VLOOKUP($A210,Questions!$B$3:$I$256,2,FALSE)</f>
        <v>Do you have a documented information security policy?</v>
      </c>
      <c r="C210" s="23" t="str">
        <f>VLOOKUP($A210,Questions!$B$3:$I$256,7,FALSE)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210" s="23" t="str">
        <f>VLOOKUP($A210,Questions!$B$3:$I$256,8,FALSE)</f>
        <v>If the vendor does not have an incident response plan, point them to the NIST Computer Security Incident Handling Guide at https://csrc.nist.gov/publications/detail/sp/800-61/rev-2/final</v>
      </c>
    </row>
    <row r="211" spans="1:5" ht="63.75" customHeight="1">
      <c r="A211" s="23" t="str">
        <f>'HECVAT - Full | Vendor Response'!A219</f>
        <v>PPPR-12</v>
      </c>
      <c r="B211" s="23" t="str">
        <f>VLOOKUP($A211,Questions!$B$3:$I$256,2,FALSE)</f>
        <v>Do you have an information security awareness program?</v>
      </c>
      <c r="C211" s="23" t="str">
        <f>VLOOKUP($A211,Questions!$B$3:$I$256,7,FALSE)</f>
        <v>Setting the expectation of  security-related responsibilities throughout an organzation is favored in an information security awareness program. Vendors without an information security awareness campaign should be met with scrutiny on how security policies and procedures are implemented in their environment.</v>
      </c>
      <c r="D211" s="23" t="str">
        <f>VLOOKUP($A211,Questions!$B$3:$I$256,8,FALSE)</f>
        <v>Follow-up inquiries for information security awareness programs will be institution/implementation specific.</v>
      </c>
      <c r="E211" s="198"/>
    </row>
    <row r="212" spans="1:5" ht="63" customHeight="1">
      <c r="A212" s="23" t="str">
        <f>'HECVAT - Full | Vendor Response'!A220</f>
        <v>PPPR-13</v>
      </c>
      <c r="B212" s="23" t="str">
        <f>VLOOKUP($A212,Questions!$B$3:$I$256,2,FALSE)</f>
        <v>Is security awareness training mandatory for all employees?</v>
      </c>
      <c r="C212" s="23" t="str">
        <f>VLOOKUP($A212,Questions!$B$3:$I$256,7,FALSE)</f>
        <v>Setting the expectation of  security-related responsibilities throughout an organzation is favored in an information security awareness program. Vendors without an information security awareness campaign should be met with scrutiny on how security policies and procedures are implemented in their environment.</v>
      </c>
      <c r="D212" s="23" t="str">
        <f>VLOOKUP($A212,Questions!$B$3:$I$256,8,FALSE)</f>
        <v>Follow-up inquiries for information security awareness programs will be institution/implementation specific.</v>
      </c>
      <c r="E212" s="198"/>
    </row>
    <row r="213" spans="1:5" ht="73.5" customHeight="1">
      <c r="A213" s="23" t="str">
        <f>'HECVAT - Full | Vendor Response'!A221</f>
        <v>PPPR-14</v>
      </c>
      <c r="B213" s="23" t="str">
        <f>VLOOKUP($A213,Questions!$B$3:$I$256,2,FALSE)</f>
        <v>Do you have process and procedure(s) documented, and currently followed, that require a review and update of the access list(s) for privileged accounts?</v>
      </c>
      <c r="C213" s="23" t="str">
        <f>VLOOKUP($A213,Questions!$B$3:$I$256,7,FALSE)</f>
        <v>Protecting privileged accounts is crucial to maintaining system integrity in any environment. This question is targeting privilege creep and unmanaged privileged acccounts to determine if the vendor properly manages access control in their application/system environments.</v>
      </c>
      <c r="D213" s="23" t="str">
        <f>VLOOKUP($A213,Questions!$B$3:$I$256,8,FALSE)</f>
        <v>Ask the vendor to summarize their implemented policies and/or procedures.</v>
      </c>
      <c r="E213" s="198"/>
    </row>
    <row r="214" spans="1:5" ht="36" customHeight="1">
      <c r="A214" s="23" t="str">
        <f>'HECVAT - Full | Vendor Response'!A222</f>
        <v>PPPR-15</v>
      </c>
      <c r="B214" s="23" t="str">
        <f>VLOOKUP($A214,Questions!$B$3:$I$256,2,FALSE)</f>
        <v>Do you have documented, and currently implemented, internal audit processes and procedures?</v>
      </c>
      <c r="C214" s="23" t="str">
        <f>VLOOKUP($A214,Questions!$B$3:$I$256,7,FALSE)</f>
        <v>The role of an internal auditor is to verify implemented controls and highlight areas in need of improvement. Vendors without internal audit processes and procedures should be met with scrutiny on how security policies and procedures are monitored and verified in their environment.</v>
      </c>
      <c r="D214" s="23" t="str">
        <f>VLOOKUP($A214,Questions!$B$3:$I$256,8,FALSE)</f>
        <v xml:space="preserve">Follow-up inquiries for internal audit processes and procedures will be institution/implementation specific. </v>
      </c>
      <c r="E214" s="198"/>
    </row>
    <row r="215" spans="1:5" ht="36" customHeight="1">
      <c r="A215" s="23" t="str">
        <f>'HECVAT - Full | Vendor Response'!A223</f>
        <v>PPPR-16</v>
      </c>
      <c r="B215" s="23" t="str">
        <f>VLOOKUP($A215,Questions!$B$3:$I$256,2,FALSE)</f>
        <v>Does your organization have physical security controls and policies in place?</v>
      </c>
      <c r="C215" s="23" t="str">
        <f>VLOOKUP($A215,Questions!$B$3:$I$256,7,FALSE)</f>
        <v>This question aims to understand the physical security state of the vendor's operating environment and whether or not physical assets are appropriately protected.</v>
      </c>
      <c r="D215" s="23" t="str">
        <f>VLOOKUP($A215,Questions!$B$3:$I$256,8,FALSE)</f>
        <v xml:space="preserve">Follow-up inquiries for physical security controls and policies will be institution/implementation specific. </v>
      </c>
      <c r="E215" s="242" t="s">
        <v>91</v>
      </c>
    </row>
    <row r="216" spans="1:5" ht="36" customHeight="1">
      <c r="A216" s="283" t="s">
        <v>434</v>
      </c>
      <c r="B216" s="283"/>
      <c r="C216" s="18" t="str">
        <f>$C$23</f>
        <v>Reason for Question</v>
      </c>
      <c r="D216" s="18" t="str">
        <f>$D$23</f>
        <v>Follow-up Inquiries/Responses</v>
      </c>
    </row>
    <row r="217" spans="1:5" ht="144" customHeight="1">
      <c r="A217" s="23" t="str">
        <f>'HECVAT - Full | Vendor Response'!A225</f>
        <v>HFIH-01</v>
      </c>
      <c r="B217" s="23" t="str">
        <f>VLOOKUP($A217,Questions!$B$3:$I$256,2,FALSE)</f>
        <v>Do you have a formal incident response plan?</v>
      </c>
      <c r="C217" s="23" t="str">
        <f>VLOOKUP($A217,Questions!$B$3:$I$256,7,FALSE)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217" s="23" t="str">
        <f>VLOOKUP($A217,Questions!$B$3:$I$256,8,FALSE)</f>
        <v>If the vendor does not have an incident response plan, direct them to the NIST Computer Security Incident Handling Guide at https://csrc.nist.gov/publications/detail/sp/800-61/rev-2/final</v>
      </c>
      <c r="E217" s="198"/>
    </row>
    <row r="218" spans="1:5" ht="102" customHeight="1">
      <c r="A218" s="23" t="str">
        <f>'HECVAT - Full | Vendor Response'!A226</f>
        <v>HFIH-02</v>
      </c>
      <c r="B218" s="23" t="str">
        <f>VLOOKUP($A218,Questions!$B$3:$I$256,2,FALSE)</f>
        <v>Do you either have an internal incident response team or retain an external team?</v>
      </c>
      <c r="C218" s="23" t="str">
        <f>VLOOKUP($A218,Questions!$B$3:$I$256,7,FALSE)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218" s="23" t="str">
        <f>VLOOKUP($A218,Questions!$B$3:$I$256,8,FALSE)</f>
        <v>If the vendor does not have an incident response plan, direct them to the NIST Computer Security Incident Handling Guide at https://csrc.nist.gov/publications/detail/sp/800-61/rev-2/final</v>
      </c>
      <c r="E218" s="198"/>
    </row>
    <row r="219" spans="1:5" ht="102" customHeight="1">
      <c r="A219" s="23" t="str">
        <f>'HECVAT - Full | Vendor Response'!A227</f>
        <v>HFIH-03</v>
      </c>
      <c r="B219" s="23" t="str">
        <f>VLOOKUP($A219,Questions!$B$3:$I$256,2,FALSE)</f>
        <v>Do you have the capability to respond to incidents on a 24 x 7 x 365 basis?</v>
      </c>
      <c r="C219" s="23" t="str">
        <f>VLOOKUP($A219,Questions!$B$3:$I$256,7,FALSE)</f>
        <v>The incident team structure (internal vs. external), size, and capabilities of a vendor have a significant impact on their ability to respond to and protect an institution's data. Use the knowledge of this response when evaluating other vendor statements.</v>
      </c>
      <c r="D219" s="23" t="str">
        <f>VLOOKUP($A219,Questions!$B$3:$I$256,8,FALSE)</f>
        <v>If the vendor does not have an incident response team, direct them to the NIST Computer Security Incident Handling Guide at https://csrc.nist.gov/publications/detail/sp/800-61/rev-2/final</v>
      </c>
      <c r="E219" s="198"/>
    </row>
    <row r="220" spans="1:5" ht="120">
      <c r="A220" s="23" t="str">
        <f>'HECVAT - Full | Vendor Response'!A228</f>
        <v>HFIH-04</v>
      </c>
      <c r="B220" s="23" t="str">
        <f>VLOOKUP($A220,Questions!$B$3:$I$256,2,FALSE)</f>
        <v>Do you carry cyber-risk insurance to protect against unforeseen service outages, data that is lost or stolen, and security incidents?</v>
      </c>
      <c r="C220" s="23" t="str">
        <f>VLOOKUP($A220,Questions!$B$3:$I$256,7,FALSE)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220" s="23" t="str">
        <f>VLOOKUP($A220,Questions!$B$3:$I$256,8,FALSE)</f>
        <v>If the vendor does not have an incident response plan, point them to the NIST Computer Security Incident Handling Guide at https://csrc.nist.gov/publications/detail/sp/800-61/rev-2/final</v>
      </c>
      <c r="E220" s="242" t="s">
        <v>91</v>
      </c>
    </row>
    <row r="221" spans="1:5" ht="36" customHeight="1">
      <c r="A221" s="283" t="str">
        <f>IF($C$31="","Quality Assurance",IF($C$31="Yes","Quality Assurance - Optional based on QUALIFIER response.","Quality Assurance"))</f>
        <v>Quality Assurance</v>
      </c>
      <c r="B221" s="283"/>
      <c r="C221" s="18" t="str">
        <f>$C$23</f>
        <v>Reason for Question</v>
      </c>
      <c r="D221" s="18" t="str">
        <f>$D$23</f>
        <v>Follow-up Inquiries/Responses</v>
      </c>
    </row>
    <row r="222" spans="1:5" ht="75">
      <c r="A222" s="23" t="str">
        <f>'HECVAT - Full | Vendor Response'!A230</f>
        <v>QLAS-01</v>
      </c>
      <c r="B222" s="23" t="str">
        <f>VLOOKUP($A222,Questions!$B$3:$I$256,2,FALSE)</f>
        <v>Do you have a documented and currently implemented Quality Assurance program?</v>
      </c>
      <c r="C222" s="23" t="str">
        <f>VLOOKUP($A222,Questions!$B$3:$I$256,7,FALSE)</f>
        <v xml:space="preserve">Integrity and availability are the focus of this question. The existence of a well-documented quality assurance program, with demonstrated and published metrics, may provide insight into the inner workings (mindset) of a vendor. </v>
      </c>
      <c r="D222" s="23" t="str">
        <f>VLOOKUP($A222,Questions!$B$3:$I$256,8,FALSE)</f>
        <v>Institutions vary broadly on how QA is handled, so any follow-up questions will be contract/institution/implementation specific.</v>
      </c>
    </row>
    <row r="223" spans="1:5" ht="48" customHeight="1">
      <c r="A223" s="23" t="str">
        <f>'HECVAT - Full | Vendor Response'!A231</f>
        <v>QLAS-02</v>
      </c>
      <c r="B223" s="23" t="str">
        <f>VLOOKUP($A223,Questions!$B$3:$I$256,2,FALSE)</f>
        <v>Do you comply with ISO 9001?</v>
      </c>
      <c r="C223" s="23" t="str">
        <f>VLOOKUP($A223,Questions!$B$3:$I$256,7,FALSE)</f>
        <v>Standard documentation, relevant to institutions requiring a vendor to comply with ISO 9001.</v>
      </c>
      <c r="D223" s="23" t="str">
        <f>VLOOKUP($A223,Questions!$B$3:$I$256,8,FALSE)</f>
        <v xml:space="preserve">Follow-up inquiries for ISO 9001 content will be institution/implementation specific. </v>
      </c>
    </row>
    <row r="224" spans="1:5" ht="84" customHeight="1">
      <c r="A224" s="23" t="str">
        <f>'HECVAT - Full | Vendor Response'!A232</f>
        <v>QLAS-03</v>
      </c>
      <c r="B224" s="23" t="str">
        <f>VLOOKUP($A224,Questions!$B$3:$I$256,2,FALSE)</f>
        <v>Will your company provide quality and performance metrics in relation to the scope of services and performance expectations for the services you are offering?</v>
      </c>
      <c r="C224" s="23" t="str">
        <f>VLOOKUP($A224,Questions!$B$3:$I$256,7,FALSE)</f>
        <v>This question is for institutions that tie metrics and service level agreements (SLAs) or expectations (SLEs) to security reviews. The implementation strategy and use case will indicate the relevance of this question for security/risk assessment.</v>
      </c>
      <c r="D224" s="23" t="str">
        <f>VLOOKUP($A224,Questions!$B$3:$I$256,8,FALSE)</f>
        <v xml:space="preserve">Follow-up inquiries for quality and performance metrics will be contract/institution/implementation specific. </v>
      </c>
    </row>
    <row r="225" spans="1:5" ht="96" customHeight="1">
      <c r="A225" s="23" t="str">
        <f>'HECVAT - Full | Vendor Response'!A233</f>
        <v>QLAS-04</v>
      </c>
      <c r="B225" s="23" t="str">
        <f>VLOOKUP($A225,Questions!$B$3:$I$256,2,FALSE)</f>
        <v>Do you incorporate customer feedback into security feature requests?</v>
      </c>
      <c r="C225" s="23" t="str">
        <f>VLOOKUP($A225,Questions!$B$3:$I$256,7,FALSE)</f>
        <v>This is a general inquiry to determine if the vendor being assessed has done or is doing business with the institution at the time of assessment. Existing relationships, if present, can be reviewed for insights into a vendor and/or to verify other responses.</v>
      </c>
      <c r="D225" s="23" t="str">
        <f>VLOOKUP($A225,Questions!$B$3:$I$256,8,FALSE)</f>
        <v>Many higher education institutions are large enough that existing/former contracts exist with one entity of the college/university (e.g., school of X) but are unknown to another. Question the vendor in-depth if you get a vague response to this question; combining licenses/purchases increases buying power.</v>
      </c>
    </row>
    <row r="226" spans="1:5" ht="48" customHeight="1">
      <c r="A226" s="23" t="str">
        <f>'HECVAT - Full | Vendor Response'!A234</f>
        <v>QLAS-05</v>
      </c>
      <c r="B226" s="23" t="str">
        <f>VLOOKUP($A226,Questions!$B$3:$I$256,2,FALSE)</f>
        <v>Can you provide an evaluation site to the institution for testing?</v>
      </c>
      <c r="C226" s="23" t="str">
        <f>VLOOKUP($A226,Questions!$B$3:$I$256,7,FALSE)</f>
        <v xml:space="preserve">This question is used to gauge the importance of our industry (higher education) to the vendor. </v>
      </c>
      <c r="D226" s="23" t="str">
        <f>VLOOKUP($A226,Questions!$B$3:$I$256,8,FALSE)</f>
        <v>This is a general information question. Any follow-up will be institution/implementation specific.</v>
      </c>
      <c r="E226" s="238" t="s">
        <v>91</v>
      </c>
    </row>
    <row r="227" spans="1:5" ht="36" customHeight="1">
      <c r="A227" s="283" t="str">
        <f>IF($C$31="","Vulnerability Scanning",IF($C$31="Yes","Vulnerability Scanning - Optional based on QUALIFIER response.","Vulnerability Scanning"))</f>
        <v>Vulnerability Scanning</v>
      </c>
      <c r="B227" s="283"/>
      <c r="C227" s="18" t="str">
        <f>$C$23</f>
        <v>Reason for Question</v>
      </c>
      <c r="D227" s="18" t="str">
        <f>$D$23</f>
        <v>Follow-up Inquiries/Responses</v>
      </c>
    </row>
    <row r="228" spans="1:5" ht="120">
      <c r="A228" s="23" t="str">
        <f>'HECVAT - Full | Vendor Response'!A236</f>
        <v>VULN-01</v>
      </c>
      <c r="B228" s="23" t="str">
        <f>VLOOKUP($A228,Questions!$B$3:$I$256,2,FALSE)</f>
        <v>Are your systems and applications regularly scanned externally for vulnerabilities?</v>
      </c>
      <c r="C228" s="23" t="str">
        <f>VLOOKUP($A228,Questions!$B$3:$I$256,7,FALSE)</f>
        <v>External verification of application security controls is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v>
      </c>
      <c r="D228" s="23" t="str">
        <f>VLOOKUP($A228,Questions!$B$3:$I$256,8,FALSE)</f>
        <v xml:space="preserve">If "No," inquire if there has ever been a vulnerability scan. A short lapse in external assessment validity can be understood (if there is a planned assessment), but a significant time lapse or none whatsoever is cause for elevated levels of concern. </v>
      </c>
    </row>
    <row r="229" spans="1:5" ht="135">
      <c r="A229" s="23" t="str">
        <f>'HECVAT - Full | Vendor Response'!A237</f>
        <v>VULN-02</v>
      </c>
      <c r="B229" s="23" t="str">
        <f>VLOOKUP($A229,Questions!$B$3:$I$256,2,FALSE)</f>
        <v>Have your systems and applications had a third-party security assessment completed in the last year?</v>
      </c>
      <c r="C229" s="23" t="str">
        <f>VLOOKUP($A229,Questions!$B$3:$I$256,7,FALSE)</f>
        <v>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v>
      </c>
      <c r="D229" s="23" t="str">
        <f>VLOOKUP($A229,Questions!$B$3:$I$256,8,FALSE)</f>
        <v>Ask if there has ever been a vulnerability scan. A short lapse in external assessment validity can be understood (if there is a planned assessment), but a significant time lapse or none whatsoever is cause for elevated levels of concern.</v>
      </c>
    </row>
    <row r="230" spans="1:5" ht="105">
      <c r="A230" s="23" t="str">
        <f>'HECVAT - Full | Vendor Response'!A238</f>
        <v>VULN-03</v>
      </c>
      <c r="B230" s="23" t="str">
        <f>VLOOKUP($A230,Questions!$B$3:$I$256,2,FALSE)</f>
        <v>Are your systems and applications scanned with an authenticated user account for vulnerabilities (that are remediated) prior to new releases?</v>
      </c>
      <c r="C230" s="23" t="str">
        <f>VLOOKUP($A230,Questions!$B$3:$I$256,7,FALSE)</f>
        <v>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230" s="23" t="str">
        <f>VLOOKUP($A230,Questions!$B$3:$I$256,8,FALSE)</f>
        <v>Ask if there are plans to implement these processes. Ask the vendor to summarize their decision behind not scanning their applications for vulnerabilities prior to release.</v>
      </c>
    </row>
    <row r="231" spans="1:5" ht="60">
      <c r="A231" s="23" t="str">
        <f>'HECVAT - Full | Vendor Response'!A239</f>
        <v>VULN-04</v>
      </c>
      <c r="B231" s="23" t="str">
        <f>VLOOKUP($A231,Questions!$B$3:$I$256,2,FALSE)</f>
        <v>Will you provide results of application and system vulnerability scans to the institution?</v>
      </c>
      <c r="C231" s="23" t="str">
        <f>VLOOKUP($A231,Questions!$B$3:$I$256,7,FALSE)</f>
        <v>If a vendor is scanning their applications and/or systems, oftentimes an institution will want to review the report, if possible. Preferably, any finding on the reports will have a matching mitigation action.</v>
      </c>
      <c r="D231" s="23" t="str">
        <f>VLOOKUP($A231,Questions!$B$3:$I$256,8,FALSE)</f>
        <v>If a vendor is hesitant to share the report, ask for a summarized version; some insight is better than none.</v>
      </c>
    </row>
    <row r="232" spans="1:5" ht="135">
      <c r="A232" s="23" t="str">
        <f>'HECVAT - Full | Vendor Response'!A240</f>
        <v>VULN-05</v>
      </c>
      <c r="B232" s="23" t="str">
        <f>VLOOKUP($A232,Questions!$B$3:$I$256,2,FALSE)</f>
        <v>Describe or provide a reference to how you monitor for and protect against common web application security vulnerabilities (e.g., SQL injection, XSS, XSRF, etc.).</v>
      </c>
      <c r="C232" s="23" t="str">
        <f>VLOOKUP($A232,Questions!$B$3:$I$256,7,FALSE)</f>
        <v>The adherence to secure coding best practices better positions a vendor to maintain the CIA triad. Use the knowledge of this response when evaluating other vendor statements, particularly those focused on development and the protection of communications. Vendors should be monitoring for and addressing these issues in their products.</v>
      </c>
      <c r="D232" s="23" t="str">
        <f>VLOOKUP($A232,Questions!$B$3:$I$256,8,FALSE)</f>
        <v>If information security principles are not designed into the product lifecycle, point the vendor to OWASP's Secure Coding Practices - Quick Reference Guide at https://www.owasp.org/index.php/OWASP_Secure_Coding_Practices_-_Quick_Reference_Guide
Inquire about the tools a vendor uses, the interval at which systems are monitored/mitigated, and who is responsible for the process/procedure in place for this monitoring.</v>
      </c>
    </row>
    <row r="233" spans="1:5" ht="75">
      <c r="A233" s="23" t="str">
        <f>'HECVAT - Full | Vendor Response'!A241</f>
        <v>VULN-06</v>
      </c>
      <c r="B233" s="23" t="str">
        <f>VLOOKUP($A233,Questions!$B$3:$I$256,2,FALSE)</f>
        <v>Will you allow the institution to perform its own vulnerability testing and/or scanning of your systems and/or application, provided that testing is performed at a mutually agreed upon time and date?</v>
      </c>
      <c r="C233" s="23" t="str">
        <f>VLOOKUP($A233,Questions!$B$3:$I$256,7,FALSE)</f>
        <v>Many higher education institutions are capable of performing vulnerability assessments and/or penetration testing on their vendors' infrastructures. This question confirms the possibility of conducting these actions against the vendor's infrastructure.</v>
      </c>
      <c r="D233" s="23" t="str">
        <f>VLOOKUP($A233,Questions!$B$3:$I$256,8,FALSE)</f>
        <v>Follow-up inquiries for vulnerability scanning and penetration testing will be institution/implementation specific.</v>
      </c>
      <c r="E233" s="238" t="s">
        <v>91</v>
      </c>
    </row>
    <row r="234" spans="1:5" ht="36" customHeight="1">
      <c r="A234" s="283" t="str">
        <f>IF(OR($C$25="No",$C$25="Yes"),"HIPAA - Optional based on QUALIFIER response.","HIPAA")</f>
        <v>HIPAA</v>
      </c>
      <c r="B234" s="283"/>
      <c r="C234" s="18" t="str">
        <f>$C$23</f>
        <v>Reason for Question</v>
      </c>
      <c r="D234" s="18" t="str">
        <f>$D$23</f>
        <v>Follow-up Inquiries/Responses</v>
      </c>
    </row>
    <row r="235" spans="1:5" ht="65.25" customHeight="1">
      <c r="A235" s="23" t="str">
        <f>'HECVAT - Full | Vendor Response'!A243</f>
        <v>HIPA-01</v>
      </c>
      <c r="B235" s="23" t="str">
        <f>VLOOKUP($A235,Questions!$B$3:$I$256,2,FALSE)</f>
        <v>Do your workforce members receive regular training related to the HIPAA Privacy and Security Rules and the HITECH Act?</v>
      </c>
      <c r="C235" s="23" t="str">
        <f>VLOOKUP($A235,Questions!$B$3:$I$256,7,FALSE)</f>
        <v>HIPAA</v>
      </c>
      <c r="D235" s="23" t="str">
        <f>VLOOKUP($A235,Questions!$B$3:$I$256,8,FALSE)</f>
        <v>Refer to HIPAA documentation or your institution's Chief HIPAA Security Officer.</v>
      </c>
    </row>
    <row r="236" spans="1:5" ht="48" customHeight="1">
      <c r="A236" s="23" t="str">
        <f>'HECVAT - Full | Vendor Response'!A244</f>
        <v>HIPA-02</v>
      </c>
      <c r="B236" s="23" t="str">
        <f>VLOOKUP($A236,Questions!$B$3:$I$256,2,FALSE)</f>
        <v>Do you monitor or receive information regarding changes in HIPAA regulations?</v>
      </c>
      <c r="C236" s="23" t="str">
        <f>VLOOKUP($A236,Questions!$B$3:$I$256,7,FALSE)</f>
        <v>HIPAA</v>
      </c>
      <c r="D236" s="23" t="str">
        <f>VLOOKUP($A236,Questions!$B$3:$I$256,8,FALSE)</f>
        <v>Refer to HIPAA documentation or your institution's Chief HIPAA Security Officer.</v>
      </c>
    </row>
    <row r="237" spans="1:5" ht="48" customHeight="1">
      <c r="A237" s="23" t="str">
        <f>'HECVAT - Full | Vendor Response'!A245</f>
        <v>HIPA-03</v>
      </c>
      <c r="B237" s="23" t="str">
        <f>VLOOKUP($A237,Questions!$B$3:$I$256,2,FALSE)</f>
        <v>Has your organization designated HIPAA Privacy and Security officers as required by the rules?</v>
      </c>
      <c r="C237" s="23" t="str">
        <f>VLOOKUP($A237,Questions!$B$3:$I$256,7,FALSE)</f>
        <v>HIPAA</v>
      </c>
      <c r="D237" s="23" t="str">
        <f>VLOOKUP($A237,Questions!$B$3:$I$256,8,FALSE)</f>
        <v>Refer to HIPAA documentation or your institution's Chief HIPAA Security Officer.</v>
      </c>
    </row>
    <row r="238" spans="1:5" ht="48" customHeight="1">
      <c r="A238" s="23" t="str">
        <f>'HECVAT - Full | Vendor Response'!A246</f>
        <v>HIPA-04</v>
      </c>
      <c r="B238" s="23" t="str">
        <f>VLOOKUP($A238,Questions!$B$3:$I$256,2,FALSE)</f>
        <v>Do you comply with the requirements of the Health Information Technology for Economic and Clinical Health Act (HITECH)?</v>
      </c>
      <c r="C238" s="23" t="str">
        <f>VLOOKUP($A238,Questions!$B$3:$I$256,7,FALSE)</f>
        <v>HIPAA</v>
      </c>
      <c r="D238" s="23" t="str">
        <f>VLOOKUP($A238,Questions!$B$3:$I$256,8,FALSE)</f>
        <v>Refer to HIPAA documentation or your institution's Chief HIPAA Security Officer.</v>
      </c>
    </row>
    <row r="239" spans="1:5" ht="48" customHeight="1">
      <c r="A239" s="23" t="str">
        <f>'HECVAT - Full | Vendor Response'!A247</f>
        <v>HIPA-05</v>
      </c>
      <c r="B239" s="23" t="str">
        <f>VLOOKUP($A239,Questions!$B$3:$I$256,2,FALSE)</f>
        <v>Have you conducted a risk analysis as required under the Security Rule?</v>
      </c>
      <c r="C239" s="23" t="str">
        <f>VLOOKUP($A239,Questions!$B$3:$I$256,7,FALSE)</f>
        <v>HIPAA</v>
      </c>
      <c r="D239" s="23" t="str">
        <f>VLOOKUP($A239,Questions!$B$3:$I$256,8,FALSE)</f>
        <v>Refer to HIPAA documentation or your institution's Chief HIPAA Security Officer.</v>
      </c>
    </row>
    <row r="240" spans="1:5" ht="48" customHeight="1">
      <c r="A240" s="23" t="str">
        <f>'HECVAT - Full | Vendor Response'!A248</f>
        <v>HIPA-06</v>
      </c>
      <c r="B240" s="23" t="str">
        <f>VLOOKUP($A240,Questions!$B$3:$I$256,2,FALSE)</f>
        <v>Have you identified areas of risks?</v>
      </c>
      <c r="C240" s="23" t="str">
        <f>VLOOKUP($A240,Questions!$B$3:$I$256,7,FALSE)</f>
        <v>HIPAA</v>
      </c>
      <c r="D240" s="23" t="str">
        <f>VLOOKUP($A240,Questions!$B$3:$I$256,8,FALSE)</f>
        <v>Refer to HIPAA documentation or your institution's Chief HIPAA Security Officer.</v>
      </c>
    </row>
    <row r="241" spans="1:4" ht="48" customHeight="1">
      <c r="A241" s="23" t="str">
        <f>'HECVAT - Full | Vendor Response'!A249</f>
        <v>HIPA-07</v>
      </c>
      <c r="B241" s="23" t="str">
        <f>VLOOKUP($A241,Questions!$B$3:$I$256,2,FALSE)</f>
        <v>Have you taken actions to mitigate the identified risks?</v>
      </c>
      <c r="C241" s="23" t="str">
        <f>VLOOKUP($A241,Questions!$B$3:$I$256,7,FALSE)</f>
        <v>HIPAA</v>
      </c>
      <c r="D241" s="23" t="str">
        <f>VLOOKUP($A241,Questions!$B$3:$I$256,8,FALSE)</f>
        <v>Refer to HIPAA documentation or your institution's Chief HIPAA Security Officer.</v>
      </c>
    </row>
    <row r="242" spans="1:4" ht="48" customHeight="1">
      <c r="A242" s="23" t="str">
        <f>'HECVAT - Full | Vendor Response'!A250</f>
        <v>HIPA-08</v>
      </c>
      <c r="B242" s="23" t="str">
        <f>VLOOKUP($A242,Questions!$B$3:$I$256,2,FALSE)</f>
        <v>Does your application require user and system administrator password changes at a frequency no greater than 90 days?</v>
      </c>
      <c r="C242" s="23" t="str">
        <f>VLOOKUP($A242,Questions!$B$3:$I$256,7,FALSE)</f>
        <v>HIPAA</v>
      </c>
      <c r="D242" s="23" t="str">
        <f>VLOOKUP($A242,Questions!$B$3:$I$256,8,FALSE)</f>
        <v>Refer to HIPAA documentation or your institution's Chief HIPAA Security Officer.</v>
      </c>
    </row>
    <row r="243" spans="1:4" ht="48" customHeight="1">
      <c r="A243" s="23" t="str">
        <f>'HECVAT - Full | Vendor Response'!A251</f>
        <v>HIPA-09</v>
      </c>
      <c r="B243" s="23" t="str">
        <f>VLOOKUP($A243,Questions!$B$3:$I$256,2,FALSE)</f>
        <v>Does your application require users to set their own password after an administrator reset or on first use of the account?</v>
      </c>
      <c r="C243" s="23" t="str">
        <f>VLOOKUP($A243,Questions!$B$3:$I$256,7,FALSE)</f>
        <v>HIPAA</v>
      </c>
      <c r="D243" s="23" t="str">
        <f>VLOOKUP($A243,Questions!$B$3:$I$256,8,FALSE)</f>
        <v>Refer to HIPAA documentation or your institution's Chief HIPAA Security Officer.</v>
      </c>
    </row>
    <row r="244" spans="1:4" ht="48" customHeight="1">
      <c r="A244" s="23" t="str">
        <f>'HECVAT - Full | Vendor Response'!A252</f>
        <v>HIPA-10</v>
      </c>
      <c r="B244" s="23" t="str">
        <f>VLOOKUP($A244,Questions!$B$3:$I$256,2,FALSE)</f>
        <v xml:space="preserve">Does your application lock out an account after a number of failed login attempts? </v>
      </c>
      <c r="C244" s="23" t="str">
        <f>VLOOKUP($A244,Questions!$B$3:$I$256,7,FALSE)</f>
        <v>HIPAA</v>
      </c>
      <c r="D244" s="23" t="str">
        <f>VLOOKUP($A244,Questions!$B$3:$I$256,8,FALSE)</f>
        <v>Refer to HIPAA documentation or your institution's Chief HIPAA Security Officer.</v>
      </c>
    </row>
    <row r="245" spans="1:4" ht="48" customHeight="1">
      <c r="A245" s="23" t="str">
        <f>'HECVAT - Full | Vendor Response'!A253</f>
        <v>HIPA-11</v>
      </c>
      <c r="B245" s="23" t="str">
        <f>VLOOKUP($A245,Questions!$B$3:$I$256,2,FALSE)</f>
        <v>Does your application automatically lock or log-out an account after a period of inactivity?</v>
      </c>
      <c r="C245" s="23" t="str">
        <f>VLOOKUP($A245,Questions!$B$3:$I$256,7,FALSE)</f>
        <v>HIPAA</v>
      </c>
      <c r="D245" s="23" t="str">
        <f>VLOOKUP($A245,Questions!$B$3:$I$256,8,FALSE)</f>
        <v>Refer to HIPAA documentation or your institution's Chief HIPAA Security Officer.</v>
      </c>
    </row>
    <row r="246" spans="1:4" ht="48" customHeight="1">
      <c r="A246" s="23" t="str">
        <f>'HECVAT - Full | Vendor Response'!A254</f>
        <v>HIPA-12</v>
      </c>
      <c r="B246" s="23" t="str">
        <f>VLOOKUP($A246,Questions!$B$3:$I$256,2,FALSE)</f>
        <v>Are passwords visible in plain text, whether when stored or entered, including service level accounts (i.e., database accounts, etc.)?</v>
      </c>
      <c r="C246" s="23" t="str">
        <f>VLOOKUP($A246,Questions!$B$3:$I$256,7,FALSE)</f>
        <v>HIPAA</v>
      </c>
      <c r="D246" s="23" t="str">
        <f>VLOOKUP($A246,Questions!$B$3:$I$256,8,FALSE)</f>
        <v>Refer to HIPAA documentation or your institution's Chief HIPAA Security Officer.</v>
      </c>
    </row>
    <row r="247" spans="1:4" ht="48" customHeight="1">
      <c r="A247" s="23" t="str">
        <f>'HECVAT - Full | Vendor Response'!A255</f>
        <v>HIPA-13</v>
      </c>
      <c r="B247" s="23" t="str">
        <f>VLOOKUP($A247,Questions!$B$3:$I$256,2,FALSE)</f>
        <v>If the application is institution-hosted, can all service level and administrative account passwords be changed by the institution?</v>
      </c>
      <c r="C247" s="23" t="str">
        <f>VLOOKUP($A247,Questions!$B$3:$I$256,7,FALSE)</f>
        <v>HIPAA</v>
      </c>
      <c r="D247" s="23" t="str">
        <f>VLOOKUP($A247,Questions!$B$3:$I$256,8,FALSE)</f>
        <v>Refer to HIPAA documentation or your institution's Chief HIPAA Security Officer.</v>
      </c>
    </row>
    <row r="248" spans="1:4" ht="48" customHeight="1">
      <c r="A248" s="23" t="str">
        <f>'HECVAT - Full | Vendor Response'!A256</f>
        <v>HIPA-14</v>
      </c>
      <c r="B248" s="23" t="str">
        <f>VLOOKUP($A248,Questions!$B$3:$I$256,2,FALSE)</f>
        <v>Does your application provide the ability to define user access levels?</v>
      </c>
      <c r="C248" s="23" t="str">
        <f>VLOOKUP($A248,Questions!$B$3:$I$256,7,FALSE)</f>
        <v>HIPAA</v>
      </c>
      <c r="D248" s="23" t="str">
        <f>VLOOKUP($A248,Questions!$B$3:$I$256,8,FALSE)</f>
        <v>Refer to HIPAA documentation or your institution's Chief HIPAA Security Officer.</v>
      </c>
    </row>
    <row r="249" spans="1:4" ht="48" customHeight="1">
      <c r="A249" s="23" t="str">
        <f>'HECVAT - Full | Vendor Response'!A257</f>
        <v>HIPA-15</v>
      </c>
      <c r="B249" s="23" t="str">
        <f>VLOOKUP($A249,Questions!$B$3:$I$256,2,FALSE)</f>
        <v>Does your application support varying levels of access to administrative tasks defined individually per user?</v>
      </c>
      <c r="C249" s="23" t="str">
        <f>VLOOKUP($A249,Questions!$B$3:$I$256,7,FALSE)</f>
        <v>HIPAA</v>
      </c>
      <c r="D249" s="23" t="str">
        <f>VLOOKUP($A249,Questions!$B$3:$I$256,8,FALSE)</f>
        <v>Refer to HIPAA documentation or your institution's Chief HIPAA Security Officer.</v>
      </c>
    </row>
    <row r="250" spans="1:4" ht="48" customHeight="1">
      <c r="A250" s="23" t="str">
        <f>'HECVAT - Full | Vendor Response'!A258</f>
        <v>HIPA-16</v>
      </c>
      <c r="B250" s="23" t="str">
        <f>VLOOKUP($A250,Questions!$B$3:$I$256,2,FALSE)</f>
        <v>Does your application support varying levels of access to records based on user ID?</v>
      </c>
      <c r="C250" s="23" t="str">
        <f>VLOOKUP($A250,Questions!$B$3:$I$256,7,FALSE)</f>
        <v>HIPAA</v>
      </c>
      <c r="D250" s="23" t="str">
        <f>VLOOKUP($A250,Questions!$B$3:$I$256,8,FALSE)</f>
        <v>Refer to HIPAA documentation or your institution's Chief HIPAA Security Officer.</v>
      </c>
    </row>
    <row r="251" spans="1:4" ht="48" customHeight="1">
      <c r="A251" s="23" t="str">
        <f>'HECVAT - Full | Vendor Response'!A259</f>
        <v>HIPA-17</v>
      </c>
      <c r="B251" s="23" t="str">
        <f>VLOOKUP($A251,Questions!$B$3:$I$256,2,FALSE)</f>
        <v>Is there a limit to the number of groups to which a user can be assigned?</v>
      </c>
      <c r="C251" s="23" t="str">
        <f>VLOOKUP($A251,Questions!$B$3:$I$256,7,FALSE)</f>
        <v>HIPAA</v>
      </c>
      <c r="D251" s="23" t="str">
        <f>VLOOKUP($A251,Questions!$B$3:$I$256,8,FALSE)</f>
        <v>Refer to HIPAA documentation or your institution's Chief HIPAA Security Officer.</v>
      </c>
    </row>
    <row r="252" spans="1:4" ht="48" customHeight="1">
      <c r="A252" s="23" t="str">
        <f>'HECVAT - Full | Vendor Response'!A260</f>
        <v>HIPA-18</v>
      </c>
      <c r="B252" s="23" t="str">
        <f>VLOOKUP($A252,Questions!$B$3:$I$256,2,FALSE)</f>
        <v>Do accounts used for vendor-supplied remote support abide by the same authentication policies and access logging as the rest of the system?</v>
      </c>
      <c r="C252" s="23" t="str">
        <f>VLOOKUP($A252,Questions!$B$3:$I$256,7,FALSE)</f>
        <v>HIPAA</v>
      </c>
      <c r="D252" s="23" t="str">
        <f>VLOOKUP($A252,Questions!$B$3:$I$256,8,FALSE)</f>
        <v>Refer to HIPAA documentation or your institution's Chief HIPAA Security Officer.</v>
      </c>
    </row>
    <row r="253" spans="1:4" ht="47.25" customHeight="1">
      <c r="A253" s="23" t="str">
        <f>'HECVAT - Full | Vendor Response'!A261</f>
        <v>HIPA-19</v>
      </c>
      <c r="B253" s="23" t="str">
        <f>VLOOKUP($A253,Questions!$B$3:$I$256,2,FALSE)</f>
        <v xml:space="preserve">Does the application log record access including specific user, date/time of access, and originating IP or device? </v>
      </c>
      <c r="C253" s="23" t="str">
        <f>VLOOKUP($A253,Questions!$B$3:$I$256,7,FALSE)</f>
        <v>HIPAA</v>
      </c>
      <c r="D253" s="23" t="str">
        <f>VLOOKUP($A253,Questions!$B$3:$I$256,8,FALSE)</f>
        <v>Refer to HIPAA documentation or your institution's Chief HIPAA Security Officer.</v>
      </c>
    </row>
    <row r="254" spans="1:4" ht="47.25" customHeight="1">
      <c r="A254" s="23" t="str">
        <f>'HECVAT - Full | Vendor Response'!A262</f>
        <v>HIPA-20</v>
      </c>
      <c r="B254" s="23" t="str">
        <f>VLOOKUP($A254,Questions!$B$3:$I$256,2,FALSE)</f>
        <v>Does the application log administrative activity, such user account access changes and password changes, including specific user, date/time of changes, and originating IP or device?</v>
      </c>
      <c r="C254" s="23" t="str">
        <f>VLOOKUP($A254,Questions!$B$3:$I$256,7,FALSE)</f>
        <v>HIPAA</v>
      </c>
      <c r="D254" s="23" t="str">
        <f>VLOOKUP($A254,Questions!$B$3:$I$256,8,FALSE)</f>
        <v>Refer to HIPAA documentation or your institution's Chief HIPAA Security Officer.</v>
      </c>
    </row>
    <row r="255" spans="1:4" ht="48" customHeight="1">
      <c r="A255" s="23" t="str">
        <f>'HECVAT - Full | Vendor Response'!A263</f>
        <v>HIPA-21</v>
      </c>
      <c r="B255" s="23" t="str">
        <f>VLOOKUP($A255,Questions!$B$3:$I$256,2,FALSE)</f>
        <v>How long does the application keep access/change logs?</v>
      </c>
      <c r="C255" s="23" t="str">
        <f>VLOOKUP($A255,Questions!$B$3:$I$256,7,FALSE)</f>
        <v>HIPAA</v>
      </c>
      <c r="D255" s="23" t="str">
        <f>VLOOKUP($A255,Questions!$B$3:$I$256,8,FALSE)</f>
        <v>Refer to HIPAA documentation or your institution's Chief HIPAA Security Officer.</v>
      </c>
    </row>
    <row r="256" spans="1:4" ht="65.25" customHeight="1">
      <c r="A256" s="23" t="str">
        <f>'HECVAT - Full | Vendor Response'!A264</f>
        <v>HIPA-22</v>
      </c>
      <c r="B256" s="23" t="str">
        <f>VLOOKUP($A256,Questions!$B$3:$I$256,2,FALSE)</f>
        <v xml:space="preserve">Can the application logs be archived? </v>
      </c>
      <c r="C256" s="23" t="str">
        <f>VLOOKUP($A256,Questions!$B$3:$I$256,7,FALSE)</f>
        <v>HIPAA</v>
      </c>
      <c r="D256" s="23" t="str">
        <f>VLOOKUP($A256,Questions!$B$3:$I$256,8,FALSE)</f>
        <v>Refer to HIPAA documentation or your institution's Chief HIPAA Security Officer.</v>
      </c>
    </row>
    <row r="257" spans="1:5" ht="48" customHeight="1">
      <c r="A257" s="23" t="str">
        <f>'HECVAT - Full | Vendor Response'!A265</f>
        <v>HIPA-23</v>
      </c>
      <c r="B257" s="23" t="str">
        <f>VLOOKUP($A257,Questions!$B$3:$I$256,2,FALSE)</f>
        <v xml:space="preserve">Can the application logs be saved externally? </v>
      </c>
      <c r="C257" s="23" t="str">
        <f>VLOOKUP($A257,Questions!$B$3:$I$256,7,FALSE)</f>
        <v>HIPAA</v>
      </c>
      <c r="D257" s="23" t="str">
        <f>VLOOKUP($A257,Questions!$B$3:$I$256,8,FALSE)</f>
        <v>Refer to HIPAA documentation or your institution's Chief HIPAA Security Officer.</v>
      </c>
    </row>
    <row r="258" spans="1:5" ht="48" customHeight="1">
      <c r="A258" s="23" t="str">
        <f>'HECVAT - Full | Vendor Response'!A266</f>
        <v>HIPA-24</v>
      </c>
      <c r="B258" s="23" t="str">
        <f>VLOOKUP($A258,Questions!$B$3:$I$256,2,FALSE)</f>
        <v>Do your data backup and retention policies and practices meet HIPAA requirements?</v>
      </c>
      <c r="C258" s="23" t="str">
        <f>VLOOKUP($A258,Questions!$B$3:$I$256,7,FALSE)</f>
        <v>HIPAA</v>
      </c>
      <c r="D258" s="23" t="str">
        <f>VLOOKUP($A258,Questions!$B$3:$I$256,8,FALSE)</f>
        <v>Refer to HIPAA documentation or your institution's Chief HIPAA Security Officer.</v>
      </c>
    </row>
    <row r="259" spans="1:5" ht="48" customHeight="1">
      <c r="A259" s="23" t="str">
        <f>'HECVAT - Full | Vendor Response'!A267</f>
        <v>HIPA-25</v>
      </c>
      <c r="B259" s="23" t="str">
        <f>VLOOKUP($A259,Questions!$B$3:$I$256,2,FALSE)</f>
        <v>Do you have a disaster recovery plan and emergency mode operation plan?</v>
      </c>
      <c r="C259" s="23" t="str">
        <f>VLOOKUP($A259,Questions!$B$3:$I$256,7,FALSE)</f>
        <v>HIPAA</v>
      </c>
      <c r="D259" s="23" t="str">
        <f>VLOOKUP($A259,Questions!$B$3:$I$256,8,FALSE)</f>
        <v>Refer to HIPAA documentation or your institution's Chief HIPAA Security Officer.</v>
      </c>
    </row>
    <row r="260" spans="1:5" ht="48" customHeight="1">
      <c r="A260" s="23" t="str">
        <f>'HECVAT - Full | Vendor Response'!A268</f>
        <v>HIPA-26</v>
      </c>
      <c r="B260" s="23" t="str">
        <f>VLOOKUP($A260,Questions!$B$3:$I$256,2,FALSE)</f>
        <v>Have the policies/plans mentioned above been tested?</v>
      </c>
      <c r="C260" s="23" t="str">
        <f>VLOOKUP($A260,Questions!$B$3:$I$256,7,FALSE)</f>
        <v>HIPAA</v>
      </c>
      <c r="D260" s="23" t="str">
        <f>VLOOKUP($A260,Questions!$B$3:$I$256,8,FALSE)</f>
        <v>Refer to HIPAA documentation or your institution's Chief HIPAA Security Officer.</v>
      </c>
    </row>
    <row r="261" spans="1:5" ht="48" customHeight="1">
      <c r="A261" s="23" t="str">
        <f>'HECVAT - Full | Vendor Response'!A269</f>
        <v>HIPA-27</v>
      </c>
      <c r="B261" s="23" t="str">
        <f>VLOOKUP($A261,Questions!$B$3:$I$256,2,FALSE)</f>
        <v>Can you provide a HIPAA compliance attestation document?</v>
      </c>
      <c r="C261" s="23" t="str">
        <f>VLOOKUP($A261,Questions!$B$3:$I$256,7,FALSE)</f>
        <v>HIPAA</v>
      </c>
      <c r="D261" s="23" t="str">
        <f>VLOOKUP($A261,Questions!$B$3:$I$256,8,FALSE)</f>
        <v>Refer to HIPAA documentation or your institution's Chief HIPAA Security Officer.</v>
      </c>
    </row>
    <row r="262" spans="1:5" ht="48" customHeight="1">
      <c r="A262" s="23" t="str">
        <f>'HECVAT - Full | Vendor Response'!A270</f>
        <v>HIPA-28</v>
      </c>
      <c r="B262" s="23" t="str">
        <f>VLOOKUP($A262,Questions!$B$3:$I$256,2,FALSE)</f>
        <v>Are you willing to enter into a Business Associate Agreement (BAA)?</v>
      </c>
      <c r="C262" s="23" t="str">
        <f>VLOOKUP($A262,Questions!$B$3:$I$256,7,FALSE)</f>
        <v>HIPAA</v>
      </c>
      <c r="D262" s="23" t="str">
        <f>VLOOKUP($A262,Questions!$B$3:$I$256,8,FALSE)</f>
        <v>Refer to HIPAA documentation or your institution's Chief HIPAA Security Officer.</v>
      </c>
    </row>
    <row r="263" spans="1:5" ht="48" customHeight="1">
      <c r="A263" s="23" t="str">
        <f>'HECVAT - Full | Vendor Response'!A271</f>
        <v>HIPA-29</v>
      </c>
      <c r="B263" s="23" t="str">
        <f>VLOOKUP($A263,Questions!$B$3:$I$256,2,FALSE)</f>
        <v>Have you entered into a BAA with all subcontractors who may have access to protected health information (PHI)?</v>
      </c>
      <c r="C263" s="23" t="str">
        <f>VLOOKUP($A263,Questions!$B$3:$I$256,7,FALSE)</f>
        <v>HIPAA</v>
      </c>
      <c r="D263" s="23" t="str">
        <f>VLOOKUP($A263,Questions!$B$3:$I$256,8,FALSE)</f>
        <v>Refer to HIPAA documentation or your institution's Chief HIPAA Security Officer.</v>
      </c>
      <c r="E263" s="238" t="s">
        <v>91</v>
      </c>
    </row>
    <row r="264" spans="1:5" ht="36" customHeight="1">
      <c r="A264" s="283" t="str">
        <f>IF(OR($C$29="No",$C$29="Yes"),"PCI DSS - Optional based on QUALIFIER response.","PCI DSS")</f>
        <v>PCI DSS</v>
      </c>
      <c r="B264" s="283"/>
      <c r="C264" s="18" t="str">
        <f>$C$23</f>
        <v>Reason for Question</v>
      </c>
      <c r="D264" s="18" t="str">
        <f>$D$23</f>
        <v>Follow-up Inquiries/Responses</v>
      </c>
    </row>
    <row r="265" spans="1:5" ht="48" customHeight="1">
      <c r="A265" s="23" t="str">
        <f>'HECVAT - Full | Vendor Response'!A273</f>
        <v>PCID-01</v>
      </c>
      <c r="B265" s="23" t="str">
        <f>VLOOKUP($A265,Questions!$B$3:$I$256,2,FALSE)</f>
        <v>Do your systems or products store, process, or transmit cardholder (payment/credit/debt card) data?</v>
      </c>
      <c r="C265" s="23" t="str">
        <f>VLOOKUP($A265,Questions!$B$3:$I$256,7,FALSE)</f>
        <v>PCI DSS</v>
      </c>
      <c r="D265" s="23" t="str">
        <f>VLOOKUP($A265,Questions!$B$3:$I$256,8,FALSE)</f>
        <v>Refer to PCI DSS documentation or your institution's treasurer's office.</v>
      </c>
    </row>
    <row r="266" spans="1:5" ht="48" customHeight="1">
      <c r="A266" s="23" t="str">
        <f>'HECVAT - Full | Vendor Response'!A274</f>
        <v>PCID-02</v>
      </c>
      <c r="B266" s="23" t="str">
        <f>VLOOKUP($A266,Questions!$B$3:$I$256,2,FALSE)</f>
        <v>Are you compliant with the Payment Card Industry Data Security Standard (PCI DSS)?</v>
      </c>
      <c r="C266" s="23" t="str">
        <f>VLOOKUP($A266,Questions!$B$3:$I$256,7,FALSE)</f>
        <v>PCI DSS</v>
      </c>
      <c r="D266" s="23" t="str">
        <f>VLOOKUP($A266,Questions!$B$3:$I$256,8,FALSE)</f>
        <v>Refer to PCI DSS documentation or your institution's treasurer's office.</v>
      </c>
    </row>
    <row r="267" spans="1:5" ht="48" customHeight="1">
      <c r="A267" s="23" t="str">
        <f>'HECVAT - Full | Vendor Response'!A275</f>
        <v>PCID-03</v>
      </c>
      <c r="B267" s="23" t="str">
        <f>VLOOKUP($A267,Questions!$B$3:$I$256,2,FALSE)</f>
        <v>Do you have a current, executed within the past year, Attestation of Compliance (AoC) or Report on Compliance (RoC)?</v>
      </c>
      <c r="C267" s="23" t="str">
        <f>VLOOKUP($A267,Questions!$B$3:$I$256,7,FALSE)</f>
        <v>PCI DSS</v>
      </c>
      <c r="D267" s="23" t="str">
        <f>VLOOKUP($A267,Questions!$B$3:$I$256,8,FALSE)</f>
        <v>Refer to PCI DSS documentation or your institution's treasurer's office.</v>
      </c>
    </row>
    <row r="268" spans="1:5" ht="48" customHeight="1">
      <c r="A268" s="23" t="str">
        <f>'HECVAT - Full | Vendor Response'!A276</f>
        <v>PCID-04</v>
      </c>
      <c r="B268" s="23" t="str">
        <f>VLOOKUP($A268,Questions!$B$3:$I$256,2,FALSE)</f>
        <v>Are you classified as a service provider?</v>
      </c>
      <c r="C268" s="23" t="str">
        <f>VLOOKUP($A268,Questions!$B$3:$I$256,7,FALSE)</f>
        <v>PCI DSS</v>
      </c>
      <c r="D268" s="23" t="str">
        <f>VLOOKUP($A268,Questions!$B$3:$I$256,8,FALSE)</f>
        <v>Refer to PCI DSS documentation or your institution's treasurer's office.</v>
      </c>
    </row>
    <row r="269" spans="1:5" ht="48" customHeight="1">
      <c r="A269" s="23" t="str">
        <f>'HECVAT - Full | Vendor Response'!A277</f>
        <v>PCID-05</v>
      </c>
      <c r="B269" s="23" t="str">
        <f>VLOOKUP($A269,Questions!$B$3:$I$256,2,FALSE)</f>
        <v xml:space="preserve">Are you on the list of VISA approved service providers? </v>
      </c>
      <c r="C269" s="23" t="str">
        <f>VLOOKUP($A269,Questions!$B$3:$I$256,7,FALSE)</f>
        <v>PCI DSS</v>
      </c>
      <c r="D269" s="23" t="str">
        <f>VLOOKUP($A269,Questions!$B$3:$I$256,8,FALSE)</f>
        <v>Refer to PCI DSS documentation or your institution's treasurer's office.</v>
      </c>
    </row>
    <row r="270" spans="1:5" ht="48" customHeight="1">
      <c r="A270" s="23" t="str">
        <f>'HECVAT - Full | Vendor Response'!A278</f>
        <v>PCID-06</v>
      </c>
      <c r="B270" s="23" t="str">
        <f>VLOOKUP($A270,Questions!$B$3:$I$256,2,FALSE)</f>
        <v>Are you classified as a merchant? If so, what level (1, 2, 3, 4)?</v>
      </c>
      <c r="C270" s="23" t="str">
        <f>VLOOKUP($A270,Questions!$B$3:$I$256,7,FALSE)</f>
        <v>PCI DSS</v>
      </c>
      <c r="D270" s="23" t="str">
        <f>VLOOKUP($A270,Questions!$B$3:$I$256,8,FALSE)</f>
        <v>Refer to PCI DSS documentation or your institution's treasurer's office.</v>
      </c>
    </row>
    <row r="271" spans="1:5" ht="64.5" customHeight="1">
      <c r="A271" s="23" t="str">
        <f>'HECVAT - Full | Vendor Response'!A279</f>
        <v>PCID-07</v>
      </c>
      <c r="B271" s="23" t="str">
        <f>VLOOKUP($A271,Questions!$B$3:$I$256,2,FALSE)</f>
        <v>Describe the architecture employed by the system to verify and authorize credit card transactions.</v>
      </c>
      <c r="C271" s="23" t="str">
        <f>VLOOKUP($A271,Questions!$B$3:$I$256,7,FALSE)</f>
        <v>PCI DSS</v>
      </c>
      <c r="D271" s="23" t="str">
        <f>VLOOKUP($A271,Questions!$B$3:$I$256,8,FALSE)</f>
        <v>Refer to PCI DSS documentation or your institution's treasurer's office.</v>
      </c>
    </row>
    <row r="272" spans="1:5" ht="64.5" customHeight="1">
      <c r="A272" s="23" t="str">
        <f>'HECVAT - Full | Vendor Response'!A280</f>
        <v>PCID-08</v>
      </c>
      <c r="B272" s="23" t="str">
        <f>VLOOKUP($A272,Questions!$B$3:$I$256,2,FALSE)</f>
        <v xml:space="preserve">What payment processors/gateways does the system support? </v>
      </c>
      <c r="C272" s="23" t="str">
        <f>VLOOKUP($A272,Questions!$B$3:$I$256,7,FALSE)</f>
        <v>PCI DSS</v>
      </c>
      <c r="D272" s="23" t="str">
        <f>VLOOKUP($A272,Questions!$B$3:$I$256,8,FALSE)</f>
        <v>Refer to PCI DSS documentation or your institution's treasurer's office.</v>
      </c>
    </row>
    <row r="273" spans="1:5" ht="48" customHeight="1">
      <c r="A273" s="23" t="str">
        <f>'HECVAT - Full | Vendor Response'!A281</f>
        <v>PCID-09</v>
      </c>
      <c r="B273" s="23" t="str">
        <f>VLOOKUP($A273,Questions!$B$3:$I$256,2,FALSE)</f>
        <v>Can the application be installed in a PCI DSS–compliant manner ?</v>
      </c>
      <c r="C273" s="23" t="str">
        <f>VLOOKUP($A273,Questions!$B$3:$I$256,7,FALSE)</f>
        <v>PCI DSS</v>
      </c>
      <c r="D273" s="23" t="str">
        <f>VLOOKUP($A273,Questions!$B$3:$I$256,8,FALSE)</f>
        <v>Refer to PCI DSS documentation or your institution's treasurer's office.</v>
      </c>
    </row>
    <row r="274" spans="1:5" ht="48" customHeight="1">
      <c r="A274" s="23" t="str">
        <f>'HECVAT - Full | Vendor Response'!A282</f>
        <v>PCID-10</v>
      </c>
      <c r="B274" s="23" t="str">
        <f>VLOOKUP($A274,Questions!$B$3:$I$256,2,FALSE)</f>
        <v xml:space="preserve">Is the application listed as an approved Payment Application Data Security Standard (PA-DSS) application? </v>
      </c>
      <c r="C274" s="23" t="str">
        <f>VLOOKUP($A274,Questions!$B$3:$I$256,7,FALSE)</f>
        <v>PCI DSS</v>
      </c>
      <c r="D274" s="23" t="str">
        <f>VLOOKUP($A274,Questions!$B$3:$I$256,8,FALSE)</f>
        <v>Refer to PCI DSS documentation or your institution's treasurer's office.</v>
      </c>
    </row>
    <row r="275" spans="1:5" ht="54" customHeight="1">
      <c r="A275" s="23" t="str">
        <f>'HECVAT - Full | Vendor Response'!A283</f>
        <v>PCID-11</v>
      </c>
      <c r="B275" s="23" t="str">
        <f>VLOOKUP($A275,Questions!$B$3:$I$256,2,FALSE)</f>
        <v>Does the system or products use a third party to collect, store, process, or transmit cardholder (payment/credit/debt card) data?</v>
      </c>
      <c r="C275" s="23" t="str">
        <f>VLOOKUP($A275,Questions!$B$3:$I$256,7,FALSE)</f>
        <v>PCI DSS</v>
      </c>
      <c r="D275" s="23" t="str">
        <f>VLOOKUP($A275,Questions!$B$3:$I$256,8,FALSE)</f>
        <v>Refer to PCI DSS documentation or your institution's treasurer's office.</v>
      </c>
    </row>
    <row r="276" spans="1:5" ht="64.5" customHeight="1">
      <c r="A276" s="23" t="str">
        <f>'HECVAT - Full | Vendor Response'!A284</f>
        <v>PCID-12</v>
      </c>
      <c r="B276" s="23" t="str">
        <f>VLOOKUP($A276,Questions!$B$3:$I$256,2,FALSE)</f>
        <v xml:space="preserve">Include documentation describing the systems' abilities to comply with the PCI DSS and any features or capabilities of the system that must be added or changed in order to operate in compliance with the standards. </v>
      </c>
      <c r="C276" s="23" t="str">
        <f>VLOOKUP($A276,Questions!$B$3:$I$256,7,FALSE)</f>
        <v>PCI DSS</v>
      </c>
      <c r="D276" s="23" t="str">
        <f>VLOOKUP($A276,Questions!$B$3:$I$256,8,FALSE)</f>
        <v>Refer to PCI DSS documentation or your institution's treasurer's office.</v>
      </c>
      <c r="E276" s="238" t="s">
        <v>91</v>
      </c>
    </row>
    <row r="277" spans="1:5">
      <c r="A277" s="238" t="s">
        <v>545</v>
      </c>
    </row>
  </sheetData>
  <mergeCells count="25">
    <mergeCell ref="A50:B50"/>
    <mergeCell ref="A157:B157"/>
    <mergeCell ref="A175:B175"/>
    <mergeCell ref="A2:D2"/>
    <mergeCell ref="A21:B21"/>
    <mergeCell ref="A22:D22"/>
    <mergeCell ref="A23:B23"/>
    <mergeCell ref="A24:D24"/>
    <mergeCell ref="A87:B87"/>
    <mergeCell ref="A3:D3"/>
    <mergeCell ref="A105:B105"/>
    <mergeCell ref="A116:B116"/>
    <mergeCell ref="A132:B132"/>
    <mergeCell ref="A38:B38"/>
    <mergeCell ref="A32:B32"/>
    <mergeCell ref="A60:B60"/>
    <mergeCell ref="A66:B66"/>
    <mergeCell ref="A76:B76"/>
    <mergeCell ref="A264:B264"/>
    <mergeCell ref="A187:B187"/>
    <mergeCell ref="A199:B199"/>
    <mergeCell ref="A216:B216"/>
    <mergeCell ref="A221:B221"/>
    <mergeCell ref="A227:B227"/>
    <mergeCell ref="A234:B234"/>
  </mergeCells>
  <conditionalFormatting sqref="A60">
    <cfRule type="expression" dxfId="89" priority="31">
      <formula>$C$27="No"</formula>
    </cfRule>
  </conditionalFormatting>
  <conditionalFormatting sqref="A66">
    <cfRule type="expression" dxfId="88" priority="26">
      <formula>$C$31="No"</formula>
    </cfRule>
  </conditionalFormatting>
  <conditionalFormatting sqref="A105">
    <cfRule type="expression" dxfId="87" priority="25">
      <formula>$C$28="No"</formula>
    </cfRule>
  </conditionalFormatting>
  <conditionalFormatting sqref="A175">
    <cfRule type="expression" dxfId="86" priority="30">
      <formula>$C$29="No"</formula>
    </cfRule>
  </conditionalFormatting>
  <conditionalFormatting sqref="A234">
    <cfRule type="expression" dxfId="85" priority="32">
      <formula>$C$25="No"</formula>
    </cfRule>
  </conditionalFormatting>
  <conditionalFormatting sqref="A264">
    <cfRule type="expression" dxfId="84" priority="28">
      <formula>$C$30="No"</formula>
    </cfRule>
  </conditionalFormatting>
  <conditionalFormatting sqref="A76:B76 A87:B87 A105:B105 A116:B116 A132:B132 A157:B157 A175:B175 A187:B187 A199:B199 A216:B216 A221:B221 A234:B234 A264:B264">
    <cfRule type="expression" dxfId="83" priority="23">
      <formula>$C$31="Yes"</formula>
    </cfRule>
  </conditionalFormatting>
  <conditionalFormatting sqref="A227:B227">
    <cfRule type="expression" dxfId="82" priority="20">
      <formula>$C$31="Yes"</formula>
    </cfRule>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sheetPr>
  <dimension ref="A1:F318"/>
  <sheetViews>
    <sheetView zoomScaleNormal="100" workbookViewId="0"/>
  </sheetViews>
  <sheetFormatPr defaultColWidth="0" defaultRowHeight="15.95" zeroHeight="1"/>
  <cols>
    <col min="1" max="1" width="14" style="63" customWidth="1"/>
    <col min="2" max="2" width="8.59765625" style="63" customWidth="1"/>
    <col min="3" max="3" width="36.09765625" style="63" customWidth="1"/>
    <col min="4" max="4" width="13.5" style="63" customWidth="1"/>
    <col min="5" max="5" width="24.19921875" style="63" customWidth="1"/>
    <col min="6" max="6" width="8.5" style="63" customWidth="1"/>
    <col min="7" max="16384" width="8.5" style="63" hidden="1"/>
  </cols>
  <sheetData>
    <row r="1" spans="1:5">
      <c r="A1" s="238" t="s">
        <v>546</v>
      </c>
    </row>
    <row r="2" spans="1:5" s="62" customFormat="1" ht="36" customHeight="1">
      <c r="A2" s="357" t="s">
        <v>547</v>
      </c>
      <c r="B2" s="357"/>
      <c r="C2" s="357"/>
      <c r="D2" s="358"/>
      <c r="E2" s="75" t="str">
        <f>'HECVAT - Full | Vendor Response'!E2</f>
        <v>Version 3.06</v>
      </c>
    </row>
    <row r="3" spans="1:5" s="62" customFormat="1" ht="26.25" customHeight="1">
      <c r="A3" s="359"/>
      <c r="B3" s="359"/>
      <c r="C3" s="359"/>
      <c r="D3" s="359"/>
      <c r="E3" s="359"/>
    </row>
    <row r="4" spans="1:5" s="61" customFormat="1" ht="36" customHeight="1">
      <c r="A4" s="14" t="s">
        <v>548</v>
      </c>
      <c r="B4" s="270" t="str">
        <f>'HECVAT - Full | Vendor Response'!C8</f>
        <v>Weave Education, LLC</v>
      </c>
      <c r="C4" s="270"/>
      <c r="D4" s="270"/>
      <c r="E4" s="270"/>
    </row>
    <row r="5" spans="1:5" s="62" customFormat="1" ht="48" customHeight="1">
      <c r="A5" s="70" t="s">
        <v>549</v>
      </c>
      <c r="B5" s="360" t="str">
        <f>'HECVAT - Full | Vendor Response'!C10</f>
        <v>Weave’s accreditation software is uniquely designed for institutional effectiveness and empowers higher education leaders to prepare for their institutional and programmatic accreditations.</v>
      </c>
      <c r="C5" s="360"/>
      <c r="D5" s="360"/>
      <c r="E5" s="360"/>
    </row>
    <row r="47" spans="1:5" ht="48" customHeight="1">
      <c r="A47" s="350" t="s">
        <v>550</v>
      </c>
      <c r="B47" s="351"/>
      <c r="C47" s="351"/>
      <c r="D47" s="351"/>
      <c r="E47" s="352"/>
    </row>
    <row r="48" spans="1:5" s="62" customFormat="1" ht="36" customHeight="1">
      <c r="A48" s="353"/>
      <c r="B48" s="354"/>
      <c r="C48" s="354"/>
      <c r="D48" s="355" t="s">
        <v>551</v>
      </c>
      <c r="E48" s="356"/>
    </row>
    <row r="49" spans="1:5" s="64" customFormat="1" ht="60" customHeight="1">
      <c r="A49" s="264" t="str">
        <f>'High Risk Non-Compliant'!B4</f>
        <v>Question</v>
      </c>
      <c r="B49" s="362" t="str">
        <f>'High Risk Non-Compliant'!C4</f>
        <v>Additional Info</v>
      </c>
      <c r="C49" s="362"/>
      <c r="D49" s="73">
        <f>'Analyst Report'!C11</f>
        <v>0</v>
      </c>
      <c r="E49" s="72" t="e">
        <f>VLOOKUP('Analyst Report'!C11,Values!A60:B66,2)</f>
        <v>#N/A</v>
      </c>
    </row>
    <row r="50" spans="1:5" ht="144" customHeight="1">
      <c r="A50" s="66" t="str">
        <f>'High Risk Non-Compliant'!B5</f>
        <v>Does your product process protected health information (PHI) or any data covered by the Health Insurance Portability and Accountability Act?</v>
      </c>
      <c r="B50" s="364">
        <f>'High Risk Non-Compliant'!C5</f>
        <v>0</v>
      </c>
      <c r="C50" s="364"/>
      <c r="D50" s="65" t="e">
        <f>IF(VLOOKUP(A50,'High Risk Non-Compliant'!B:K,$E$49,FALSE)=0,"N/A",VLOOKUP(A50,'High Risk Non-Compliant'!B:K,$E$49,FALSE))</f>
        <v>#REF!</v>
      </c>
      <c r="E50" s="65" t="e">
        <f>IF(D50="N/A","N/A",VLOOKUP(D50,'Crosswalk Detail'!A:B,2,FALSE))</f>
        <v>#REF!</v>
      </c>
    </row>
    <row r="51" spans="1:5" ht="144" customHeight="1">
      <c r="A51" s="66" t="str">
        <f>'High Risk Non-Compliant'!B6</f>
        <v>Will institution data be shared with or hosted by any third parties? (e.g. any entity not wholly-owned by your company is considered a third-party)</v>
      </c>
      <c r="B51" s="364">
        <f>'High Risk Non-Compliant'!C6</f>
        <v>0</v>
      </c>
      <c r="C51" s="364"/>
      <c r="D51" s="65" t="e">
        <f>IF(VLOOKUP(A51,'High Risk Non-Compliant'!B:K,$E$49,FALSE)=0,"N/A",VLOOKUP(A51,'High Risk Non-Compliant'!B:K,$E$49,FALSE))</f>
        <v>#REF!</v>
      </c>
      <c r="E51" s="65" t="e">
        <f>IF(D51="N/A","N/A",VLOOKUP(D51,'Crosswalk Detail'!A:B,2,FALSE))</f>
        <v>#REF!</v>
      </c>
    </row>
    <row r="52" spans="1:5" ht="144" customHeight="1">
      <c r="A52" s="66" t="str">
        <f>'High Risk Non-Compliant'!B7</f>
        <v>Do you have a well documented Business Continuity Plan (BCP) that is tested annually?</v>
      </c>
      <c r="B52" s="364">
        <f>'High Risk Non-Compliant'!C7</f>
        <v>0</v>
      </c>
      <c r="C52" s="364"/>
      <c r="D52" s="65" t="e">
        <f>IF(VLOOKUP(A52,'High Risk Non-Compliant'!B:K,$E$49,FALSE)=0,"N/A",VLOOKUP(A52,'High Risk Non-Compliant'!B:K,$E$49,FALSE))</f>
        <v>#REF!</v>
      </c>
      <c r="E52" s="65" t="e">
        <f>IF(D52="N/A","N/A",VLOOKUP(D52,'Crosswalk Detail'!A:B,2,FALSE))</f>
        <v>#REF!</v>
      </c>
    </row>
    <row r="53" spans="1:5" ht="144" customHeight="1">
      <c r="A53" s="66" t="str">
        <f>'High Risk Non-Compliant'!B8</f>
        <v>Do you have a well documented Disaster Recovery Plan (DRP) that is tested annually?</v>
      </c>
      <c r="B53" s="364">
        <f>'High Risk Non-Compliant'!C8</f>
        <v>0</v>
      </c>
      <c r="C53" s="364"/>
      <c r="D53" s="65" t="e">
        <f>IF(VLOOKUP(A53,'High Risk Non-Compliant'!B:K,$E$49,FALSE)=0,"N/A",VLOOKUP(A53,'High Risk Non-Compliant'!B:K,$E$49,FALSE))</f>
        <v>#REF!</v>
      </c>
      <c r="E53" s="65" t="e">
        <f>IF(D53="N/A","N/A",VLOOKUP(D53,'Crosswalk Detail'!A:B,2,FALSE))</f>
        <v>#REF!</v>
      </c>
    </row>
    <row r="54" spans="1:5" ht="144" customHeight="1">
      <c r="A54" s="66" t="str">
        <f>'High Risk Non-Compliant'!B9</f>
        <v>Is the vended product designed to process or store Credit Card information?</v>
      </c>
      <c r="B54" s="364">
        <f>'High Risk Non-Compliant'!C9</f>
        <v>0</v>
      </c>
      <c r="C54" s="364"/>
      <c r="D54" s="65" t="e">
        <f>IF(VLOOKUP(A54,'High Risk Non-Compliant'!B:K,$E$49,FALSE)=0,"N/A",VLOOKUP(A54,'High Risk Non-Compliant'!B:K,$E$49,FALSE))</f>
        <v>#REF!</v>
      </c>
      <c r="E54" s="65" t="e">
        <f>IF(D54="N/A","N/A",VLOOKUP(D54,'Crosswalk Detail'!A:B,2,FALSE))</f>
        <v>#REF!</v>
      </c>
    </row>
    <row r="55" spans="1:5" ht="144" customHeight="1">
      <c r="A55" s="66">
        <f>'High Risk Non-Compliant'!B10</f>
        <v>0</v>
      </c>
      <c r="B55" s="365">
        <f>'High Risk Non-Compliant'!C10</f>
        <v>0</v>
      </c>
      <c r="C55" s="365"/>
      <c r="D55" s="65" t="e">
        <f>IF(VLOOKUP(A55,'High Risk Non-Compliant'!B:K,$E$49,FALSE)=0,"N/A",VLOOKUP(A55,'High Risk Non-Compliant'!B:K,$E$49,FALSE))</f>
        <v>#REF!</v>
      </c>
      <c r="E55" s="65" t="e">
        <f>IF(D55="N/A","N/A",VLOOKUP(D55,'Crosswalk Detail'!A:B,2,FALSE))</f>
        <v>#REF!</v>
      </c>
    </row>
    <row r="56" spans="1:5" ht="144" customHeight="1">
      <c r="A56" s="66">
        <f>'High Risk Non-Compliant'!B11</f>
        <v>0</v>
      </c>
      <c r="B56" s="364">
        <f>'High Risk Non-Compliant'!C11</f>
        <v>0</v>
      </c>
      <c r="C56" s="364"/>
      <c r="D56" s="65" t="e">
        <f>IF(VLOOKUP(A56,'High Risk Non-Compliant'!B:K,$E$49,FALSE)=0,"N/A",VLOOKUP(A56,'High Risk Non-Compliant'!B:K,$E$49,FALSE))</f>
        <v>#REF!</v>
      </c>
      <c r="E56" s="65" t="e">
        <f>IF(D56="N/A","N/A",VLOOKUP(D56,'Crosswalk Detail'!A:B,2,FALSE))</f>
        <v>#REF!</v>
      </c>
    </row>
    <row r="57" spans="1:5" ht="144" customHeight="1">
      <c r="A57" s="66">
        <f>'High Risk Non-Compliant'!B12</f>
        <v>0</v>
      </c>
      <c r="B57" s="364">
        <f>'High Risk Non-Compliant'!C12</f>
        <v>0</v>
      </c>
      <c r="C57" s="364"/>
      <c r="D57" s="65" t="e">
        <f>IF(VLOOKUP(A57,'High Risk Non-Compliant'!B:K,$E$49,FALSE)=0,"N/A",VLOOKUP(A57,'High Risk Non-Compliant'!B:K,$E$49,FALSE))</f>
        <v>#REF!</v>
      </c>
      <c r="E57" s="65" t="e">
        <f>IF(D57="N/A","N/A",VLOOKUP(D57,'Crosswalk Detail'!A:B,2,FALSE))</f>
        <v>#REF!</v>
      </c>
    </row>
    <row r="58" spans="1:5" ht="144" customHeight="1">
      <c r="A58" s="66">
        <f>'High Risk Non-Compliant'!B13</f>
        <v>0</v>
      </c>
      <c r="B58" s="364">
        <f>'High Risk Non-Compliant'!C13</f>
        <v>0</v>
      </c>
      <c r="C58" s="364"/>
      <c r="D58" s="65" t="e">
        <f>IF(VLOOKUP(A58,'High Risk Non-Compliant'!B:K,$E$49,FALSE)=0,"N/A",VLOOKUP(A58,'High Risk Non-Compliant'!B:K,$E$49,FALSE))</f>
        <v>#REF!</v>
      </c>
      <c r="E58" s="65" t="e">
        <f>IF(D58="N/A","N/A",VLOOKUP(D58,'Crosswalk Detail'!A:B,2,FALSE))</f>
        <v>#REF!</v>
      </c>
    </row>
    <row r="59" spans="1:5" ht="144" customHeight="1">
      <c r="A59" s="66">
        <f>'High Risk Non-Compliant'!B14</f>
        <v>0</v>
      </c>
      <c r="B59" s="364">
        <f>'High Risk Non-Compliant'!C14</f>
        <v>0</v>
      </c>
      <c r="C59" s="364"/>
      <c r="D59" s="65" t="e">
        <f>IF(VLOOKUP(A59,'High Risk Non-Compliant'!B:K,$E$49,FALSE)=0,"N/A",VLOOKUP(A59,'High Risk Non-Compliant'!B:K,$E$49,FALSE))</f>
        <v>#REF!</v>
      </c>
      <c r="E59" s="65" t="e">
        <f>IF(D59="N/A","N/A",VLOOKUP(D59,'Crosswalk Detail'!A:B,2,FALSE))</f>
        <v>#REF!</v>
      </c>
    </row>
    <row r="60" spans="1:5" ht="144" customHeight="1">
      <c r="A60" s="66">
        <f>'High Risk Non-Compliant'!B15</f>
        <v>0</v>
      </c>
      <c r="B60" s="364">
        <f>'High Risk Non-Compliant'!C15</f>
        <v>0</v>
      </c>
      <c r="C60" s="364"/>
      <c r="D60" s="65" t="e">
        <f>IF(VLOOKUP(A60,'High Risk Non-Compliant'!B:K,$E$49,FALSE)=0,"N/A",VLOOKUP(A60,'High Risk Non-Compliant'!B:K,$E$49,FALSE))</f>
        <v>#REF!</v>
      </c>
      <c r="E60" s="65" t="e">
        <f>IF(D60="N/A","N/A",VLOOKUP(D60,'Crosswalk Detail'!A:B,2,FALSE))</f>
        <v>#REF!</v>
      </c>
    </row>
    <row r="61" spans="1:5" ht="144" customHeight="1">
      <c r="A61" s="66">
        <f>'High Risk Non-Compliant'!B16</f>
        <v>0</v>
      </c>
      <c r="B61" s="364">
        <f>'High Risk Non-Compliant'!C16</f>
        <v>0</v>
      </c>
      <c r="C61" s="364"/>
      <c r="D61" s="65" t="e">
        <f>IF(VLOOKUP(A61,'High Risk Non-Compliant'!B:K,$E$49,FALSE)=0,"N/A",VLOOKUP(A61,'High Risk Non-Compliant'!B:K,$E$49,FALSE))</f>
        <v>#REF!</v>
      </c>
      <c r="E61" s="65" t="e">
        <f>IF(D61="N/A","N/A",VLOOKUP(D61,'Crosswalk Detail'!A:B,2,FALSE))</f>
        <v>#REF!</v>
      </c>
    </row>
    <row r="62" spans="1:5" ht="144" customHeight="1">
      <c r="A62" s="66">
        <f>'High Risk Non-Compliant'!B17</f>
        <v>0</v>
      </c>
      <c r="B62" s="364">
        <f>'High Risk Non-Compliant'!C17</f>
        <v>0</v>
      </c>
      <c r="C62" s="364"/>
      <c r="D62" s="65" t="e">
        <f>IF(VLOOKUP(A62,'High Risk Non-Compliant'!B:K,$E$49,FALSE)=0,"N/A",VLOOKUP(A62,'High Risk Non-Compliant'!B:K,$E$49,FALSE))</f>
        <v>#REF!</v>
      </c>
      <c r="E62" s="65" t="e">
        <f>IF(D62="N/A","N/A",VLOOKUP(D62,'Crosswalk Detail'!A:B,2,FALSE))</f>
        <v>#REF!</v>
      </c>
    </row>
    <row r="63" spans="1:5" ht="144" customHeight="1">
      <c r="A63" s="66">
        <f>'High Risk Non-Compliant'!B18</f>
        <v>0</v>
      </c>
      <c r="B63" s="364">
        <f>'High Risk Non-Compliant'!C18</f>
        <v>0</v>
      </c>
      <c r="C63" s="364"/>
      <c r="D63" s="65" t="e">
        <f>IF(VLOOKUP(A63,'High Risk Non-Compliant'!B:K,$E$49,FALSE)=0,"N/A",VLOOKUP(A63,'High Risk Non-Compliant'!B:K,$E$49,FALSE))</f>
        <v>#REF!</v>
      </c>
      <c r="E63" s="65" t="e">
        <f>IF(D63="N/A","N/A",VLOOKUP(D63,'Crosswalk Detail'!A:B,2,FALSE))</f>
        <v>#REF!</v>
      </c>
    </row>
    <row r="64" spans="1:5" ht="144" customHeight="1">
      <c r="A64" s="66">
        <f>'High Risk Non-Compliant'!B19</f>
        <v>0</v>
      </c>
      <c r="B64" s="364">
        <f>'High Risk Non-Compliant'!C19</f>
        <v>0</v>
      </c>
      <c r="C64" s="364"/>
      <c r="D64" s="65" t="e">
        <f>IF(VLOOKUP(A64,'High Risk Non-Compliant'!B:K,$E$49,FALSE)=0,"N/A",VLOOKUP(A64,'High Risk Non-Compliant'!B:K,$E$49,FALSE))</f>
        <v>#REF!</v>
      </c>
      <c r="E64" s="65" t="e">
        <f>IF(D64="N/A","N/A",VLOOKUP(D64,'Crosswalk Detail'!A:B,2,FALSE))</f>
        <v>#REF!</v>
      </c>
    </row>
    <row r="65" spans="1:5" ht="144" customHeight="1">
      <c r="A65" s="66">
        <f>'High Risk Non-Compliant'!B20</f>
        <v>0</v>
      </c>
      <c r="B65" s="364">
        <f>'High Risk Non-Compliant'!C20</f>
        <v>0</v>
      </c>
      <c r="C65" s="364"/>
      <c r="D65" s="65" t="e">
        <f>IF(VLOOKUP(A65,'High Risk Non-Compliant'!B:K,$E$49,FALSE)=0,"N/A",VLOOKUP(A65,'High Risk Non-Compliant'!B:K,$E$49,FALSE))</f>
        <v>#REF!</v>
      </c>
      <c r="E65" s="65" t="e">
        <f>IF(D65="N/A","N/A",VLOOKUP(D65,'Crosswalk Detail'!A:B,2,FALSE))</f>
        <v>#REF!</v>
      </c>
    </row>
    <row r="66" spans="1:5" ht="144" customHeight="1">
      <c r="A66" s="66">
        <f>'High Risk Non-Compliant'!B21</f>
        <v>0</v>
      </c>
      <c r="B66" s="364">
        <f>'High Risk Non-Compliant'!C21</f>
        <v>0</v>
      </c>
      <c r="C66" s="364"/>
      <c r="D66" s="65" t="e">
        <f>IF(VLOOKUP(A66,'High Risk Non-Compliant'!B:K,$E$49,FALSE)=0,"N/A",VLOOKUP(A66,'High Risk Non-Compliant'!B:K,$E$49,FALSE))</f>
        <v>#REF!</v>
      </c>
      <c r="E66" s="65" t="e">
        <f>IF(D66="N/A","N/A",VLOOKUP(D66,'Crosswalk Detail'!A:B,2,FALSE))</f>
        <v>#REF!</v>
      </c>
    </row>
    <row r="67" spans="1:5" ht="144" customHeight="1">
      <c r="A67" s="66">
        <f>'High Risk Non-Compliant'!B22</f>
        <v>0</v>
      </c>
      <c r="B67" s="364">
        <f>'High Risk Non-Compliant'!C22</f>
        <v>0</v>
      </c>
      <c r="C67" s="364"/>
      <c r="D67" s="65" t="e">
        <f>IF(VLOOKUP(A67,'High Risk Non-Compliant'!B:K,$E$49,FALSE)=0,"N/A",VLOOKUP(A67,'High Risk Non-Compliant'!B:K,$E$49,FALSE))</f>
        <v>#REF!</v>
      </c>
      <c r="E67" s="65" t="e">
        <f>IF(D67="N/A","N/A",VLOOKUP(D67,'Crosswalk Detail'!A:B,2,FALSE))</f>
        <v>#REF!</v>
      </c>
    </row>
    <row r="68" spans="1:5" ht="144" customHeight="1">
      <c r="A68" s="66">
        <f>'High Risk Non-Compliant'!B23</f>
        <v>0</v>
      </c>
      <c r="B68" s="364">
        <f>'High Risk Non-Compliant'!C23</f>
        <v>0</v>
      </c>
      <c r="C68" s="364"/>
      <c r="D68" s="65" t="e">
        <f>IF(VLOOKUP(A68,'High Risk Non-Compliant'!B:K,$E$49,FALSE)=0,"N/A",VLOOKUP(A68,'High Risk Non-Compliant'!B:K,$E$49,FALSE))</f>
        <v>#REF!</v>
      </c>
      <c r="E68" s="65" t="e">
        <f>IF(D68="N/A","N/A",VLOOKUP(D68,'Crosswalk Detail'!A:B,2,FALSE))</f>
        <v>#REF!</v>
      </c>
    </row>
    <row r="69" spans="1:5" ht="144" customHeight="1">
      <c r="A69" s="66">
        <f>'High Risk Non-Compliant'!B24</f>
        <v>0</v>
      </c>
      <c r="B69" s="364">
        <f>'High Risk Non-Compliant'!C24</f>
        <v>0</v>
      </c>
      <c r="C69" s="364"/>
      <c r="D69" s="65" t="e">
        <f>IF(VLOOKUP(A69,'High Risk Non-Compliant'!B:K,$E$49,FALSE)=0,"N/A",VLOOKUP(A69,'High Risk Non-Compliant'!B:K,$E$49,FALSE))</f>
        <v>#REF!</v>
      </c>
      <c r="E69" s="65" t="e">
        <f>IF(D69="N/A","N/A",VLOOKUP(D69,'Crosswalk Detail'!A:B,2,FALSE))</f>
        <v>#REF!</v>
      </c>
    </row>
    <row r="70" spans="1:5" ht="144" customHeight="1">
      <c r="A70" s="66">
        <f>'High Risk Non-Compliant'!B25</f>
        <v>0</v>
      </c>
      <c r="B70" s="364">
        <f>'High Risk Non-Compliant'!C25</f>
        <v>0</v>
      </c>
      <c r="C70" s="364"/>
      <c r="D70" s="65" t="e">
        <f>IF(VLOOKUP(A70,'High Risk Non-Compliant'!B:K,$E$49,FALSE)=0,"N/A",VLOOKUP(A70,'High Risk Non-Compliant'!B:K,$E$49,FALSE))</f>
        <v>#REF!</v>
      </c>
      <c r="E70" s="65" t="e">
        <f>IF(D70="N/A","N/A",VLOOKUP(D70,'Crosswalk Detail'!A:B,2,FALSE))</f>
        <v>#REF!</v>
      </c>
    </row>
    <row r="71" spans="1:5" ht="144" customHeight="1">
      <c r="A71" s="66">
        <f>'High Risk Non-Compliant'!B26</f>
        <v>0</v>
      </c>
      <c r="B71" s="364">
        <f>'High Risk Non-Compliant'!C26</f>
        <v>0</v>
      </c>
      <c r="C71" s="364"/>
      <c r="D71" s="65" t="e">
        <f>IF(VLOOKUP(A71,'High Risk Non-Compliant'!B:K,$E$49,FALSE)=0,"N/A",VLOOKUP(A71,'High Risk Non-Compliant'!B:K,$E$49,FALSE))</f>
        <v>#REF!</v>
      </c>
      <c r="E71" s="65" t="e">
        <f>IF(D71="N/A","N/A",VLOOKUP(D71,'Crosswalk Detail'!A:B,2,FALSE))</f>
        <v>#REF!</v>
      </c>
    </row>
    <row r="72" spans="1:5" ht="144" customHeight="1">
      <c r="A72" s="66">
        <f>'High Risk Non-Compliant'!B27</f>
        <v>0</v>
      </c>
      <c r="B72" s="364">
        <f>'High Risk Non-Compliant'!C27</f>
        <v>0</v>
      </c>
      <c r="C72" s="364"/>
      <c r="D72" s="65" t="e">
        <f>IF(VLOOKUP(A72,'High Risk Non-Compliant'!B:K,$E$49,FALSE)=0,"N/A",VLOOKUP(A72,'High Risk Non-Compliant'!B:K,$E$49,FALSE))</f>
        <v>#REF!</v>
      </c>
      <c r="E72" s="65" t="e">
        <f>IF(D72="N/A","N/A",VLOOKUP(D72,'Crosswalk Detail'!A:B,2,FALSE))</f>
        <v>#REF!</v>
      </c>
    </row>
    <row r="73" spans="1:5" ht="144" customHeight="1">
      <c r="A73" s="66">
        <f>'High Risk Non-Compliant'!B28</f>
        <v>0</v>
      </c>
      <c r="B73" s="364">
        <f>'High Risk Non-Compliant'!C28</f>
        <v>0</v>
      </c>
      <c r="C73" s="364"/>
      <c r="D73" s="65" t="e">
        <f>IF(VLOOKUP(A73,'High Risk Non-Compliant'!B:K,$E$49,FALSE)=0,"N/A",VLOOKUP(A73,'High Risk Non-Compliant'!B:K,$E$49,FALSE))</f>
        <v>#REF!</v>
      </c>
      <c r="E73" s="65" t="e">
        <f>IF(D73="N/A","N/A",VLOOKUP(D73,'Crosswalk Detail'!A:B,2,FALSE))</f>
        <v>#REF!</v>
      </c>
    </row>
    <row r="74" spans="1:5" ht="144" customHeight="1">
      <c r="A74" s="66">
        <f>'High Risk Non-Compliant'!B29</f>
        <v>0</v>
      </c>
      <c r="B74" s="364">
        <f>'High Risk Non-Compliant'!C29</f>
        <v>0</v>
      </c>
      <c r="C74" s="364"/>
      <c r="D74" s="65" t="e">
        <f>IF(VLOOKUP(A74,'High Risk Non-Compliant'!B:K,$E$49,FALSE)=0,"N/A",VLOOKUP(A74,'High Risk Non-Compliant'!B:K,$E$49,FALSE))</f>
        <v>#REF!</v>
      </c>
      <c r="E74" s="65" t="e">
        <f>IF(D74="N/A","N/A",VLOOKUP(D74,'Crosswalk Detail'!A:B,2,FALSE))</f>
        <v>#REF!</v>
      </c>
    </row>
    <row r="75" spans="1:5" ht="144" customHeight="1">
      <c r="A75" s="66">
        <f>'High Risk Non-Compliant'!B30</f>
        <v>0</v>
      </c>
      <c r="B75" s="364">
        <f>'High Risk Non-Compliant'!C30</f>
        <v>0</v>
      </c>
      <c r="C75" s="364"/>
      <c r="D75" s="65" t="e">
        <f>IF(VLOOKUP(A75,'High Risk Non-Compliant'!B:K,$E$49,FALSE)=0,"N/A",VLOOKUP(A75,'High Risk Non-Compliant'!B:K,$E$49,FALSE))</f>
        <v>#REF!</v>
      </c>
      <c r="E75" s="65" t="e">
        <f>IF(D75="N/A","N/A",VLOOKUP(D75,'Crosswalk Detail'!A:B,2,FALSE))</f>
        <v>#REF!</v>
      </c>
    </row>
    <row r="76" spans="1:5" ht="144" customHeight="1">
      <c r="A76" s="66">
        <f>'High Risk Non-Compliant'!B31</f>
        <v>0</v>
      </c>
      <c r="B76" s="364">
        <f>'High Risk Non-Compliant'!C31</f>
        <v>0</v>
      </c>
      <c r="C76" s="364"/>
      <c r="D76" s="65" t="e">
        <f>IF(VLOOKUP(A76,'High Risk Non-Compliant'!B:K,$E$49,FALSE)=0,"N/A",VLOOKUP(A76,'High Risk Non-Compliant'!B:K,$E$49,FALSE))</f>
        <v>#REF!</v>
      </c>
      <c r="E76" s="65" t="e">
        <f>IF(D76="N/A","N/A",VLOOKUP(D76,'Crosswalk Detail'!A:B,2,FALSE))</f>
        <v>#REF!</v>
      </c>
    </row>
    <row r="77" spans="1:5" ht="144" customHeight="1">
      <c r="A77" s="66">
        <f>'High Risk Non-Compliant'!B32</f>
        <v>0</v>
      </c>
      <c r="B77" s="364">
        <f>'High Risk Non-Compliant'!C32</f>
        <v>0</v>
      </c>
      <c r="C77" s="364"/>
      <c r="D77" s="65" t="e">
        <f>IF(VLOOKUP(A77,'High Risk Non-Compliant'!B:K,$E$49,FALSE)=0,"N/A",VLOOKUP(A77,'High Risk Non-Compliant'!B:K,$E$49,FALSE))</f>
        <v>#REF!</v>
      </c>
      <c r="E77" s="65" t="e">
        <f>IF(D77="N/A","N/A",VLOOKUP(D77,'Crosswalk Detail'!A:B,2,FALSE))</f>
        <v>#REF!</v>
      </c>
    </row>
    <row r="78" spans="1:5" ht="144" customHeight="1">
      <c r="A78" s="66">
        <f>'High Risk Non-Compliant'!B33</f>
        <v>0</v>
      </c>
      <c r="B78" s="364">
        <f>'High Risk Non-Compliant'!C33</f>
        <v>0</v>
      </c>
      <c r="C78" s="364"/>
      <c r="D78" s="65" t="e">
        <f>IF(VLOOKUP(A78,'High Risk Non-Compliant'!B:K,$E$49,FALSE)=0,"N/A",VLOOKUP(A78,'High Risk Non-Compliant'!B:K,$E$49,FALSE))</f>
        <v>#REF!</v>
      </c>
      <c r="E78" s="65" t="e">
        <f>IF(D78="N/A","N/A",VLOOKUP(D78,'Crosswalk Detail'!A:B,2,FALSE))</f>
        <v>#REF!</v>
      </c>
    </row>
    <row r="79" spans="1:5" ht="144" customHeight="1">
      <c r="A79" s="66">
        <f>'High Risk Non-Compliant'!B34</f>
        <v>0</v>
      </c>
      <c r="B79" s="364">
        <f>'High Risk Non-Compliant'!C34</f>
        <v>0</v>
      </c>
      <c r="C79" s="364"/>
      <c r="D79" s="65" t="e">
        <f>IF(VLOOKUP(A79,'High Risk Non-Compliant'!B:K,$E$49,FALSE)=0,"N/A",VLOOKUP(A79,'High Risk Non-Compliant'!B:K,$E$49,FALSE))</f>
        <v>#REF!</v>
      </c>
      <c r="E79" s="65" t="e">
        <f>IF(D79="N/A","N/A",VLOOKUP(D79,'Crosswalk Detail'!A:B,2,FALSE))</f>
        <v>#REF!</v>
      </c>
    </row>
    <row r="80" spans="1:5" ht="144" customHeight="1">
      <c r="A80" s="66">
        <f>'High Risk Non-Compliant'!B35</f>
        <v>0</v>
      </c>
      <c r="B80" s="364">
        <f>'High Risk Non-Compliant'!C35</f>
        <v>0</v>
      </c>
      <c r="C80" s="364"/>
      <c r="D80" s="65" t="e">
        <f>IF(VLOOKUP(A80,'High Risk Non-Compliant'!B:K,$E$49,FALSE)=0,"N/A",VLOOKUP(A80,'High Risk Non-Compliant'!B:K,$E$49,FALSE))</f>
        <v>#REF!</v>
      </c>
      <c r="E80" s="65" t="e">
        <f>IF(D80="N/A","N/A",VLOOKUP(D80,'Crosswalk Detail'!A:B,2,FALSE))</f>
        <v>#REF!</v>
      </c>
    </row>
    <row r="81" spans="1:5" ht="144" customHeight="1">
      <c r="A81" s="66">
        <f>'High Risk Non-Compliant'!B36</f>
        <v>0</v>
      </c>
      <c r="B81" s="364">
        <f>'High Risk Non-Compliant'!C36</f>
        <v>0</v>
      </c>
      <c r="C81" s="364"/>
      <c r="D81" s="65" t="e">
        <f>IF(VLOOKUP(A81,'High Risk Non-Compliant'!B:K,$E$49,FALSE)=0,"N/A",VLOOKUP(A81,'High Risk Non-Compliant'!B:K,$E$49,FALSE))</f>
        <v>#REF!</v>
      </c>
      <c r="E81" s="65" t="e">
        <f>IF(D81="N/A","N/A",VLOOKUP(D81,'Crosswalk Detail'!A:B,2,FALSE))</f>
        <v>#REF!</v>
      </c>
    </row>
    <row r="82" spans="1:5" ht="144" customHeight="1">
      <c r="A82" s="66">
        <f>'High Risk Non-Compliant'!B37</f>
        <v>0</v>
      </c>
      <c r="B82" s="364">
        <f>'High Risk Non-Compliant'!C37</f>
        <v>0</v>
      </c>
      <c r="C82" s="364"/>
      <c r="D82" s="65" t="e">
        <f>IF(VLOOKUP(A82,'High Risk Non-Compliant'!B:K,$E$49,FALSE)=0,"N/A",VLOOKUP(A82,'High Risk Non-Compliant'!B:K,$E$49,FALSE))</f>
        <v>#REF!</v>
      </c>
      <c r="E82" s="65" t="e">
        <f>IF(D82="N/A","N/A",VLOOKUP(D82,'Crosswalk Detail'!A:B,2,FALSE))</f>
        <v>#REF!</v>
      </c>
    </row>
    <row r="83" spans="1:5" ht="144" customHeight="1">
      <c r="A83" s="66">
        <f>'High Risk Non-Compliant'!B38</f>
        <v>0</v>
      </c>
      <c r="B83" s="364">
        <f>'High Risk Non-Compliant'!C38</f>
        <v>0</v>
      </c>
      <c r="C83" s="364"/>
      <c r="D83" s="65" t="e">
        <f>IF(VLOOKUP(A83,'High Risk Non-Compliant'!B:K,$E$49,FALSE)=0,"N/A",VLOOKUP(A83,'High Risk Non-Compliant'!B:K,$E$49,FALSE))</f>
        <v>#REF!</v>
      </c>
      <c r="E83" s="65" t="e">
        <f>IF(D83="N/A","N/A",VLOOKUP(D83,'Crosswalk Detail'!A:B,2,FALSE))</f>
        <v>#REF!</v>
      </c>
    </row>
    <row r="84" spans="1:5" ht="144" customHeight="1">
      <c r="A84" s="66">
        <f>'High Risk Non-Compliant'!B39</f>
        <v>0</v>
      </c>
      <c r="B84" s="364">
        <f>'High Risk Non-Compliant'!C39</f>
        <v>0</v>
      </c>
      <c r="C84" s="364"/>
      <c r="D84" s="65" t="e">
        <f>IF(VLOOKUP(A84,'High Risk Non-Compliant'!B:K,$E$49,FALSE)=0,"N/A",VLOOKUP(A84,'High Risk Non-Compliant'!B:K,$E$49,FALSE))</f>
        <v>#REF!</v>
      </c>
      <c r="E84" s="65" t="e">
        <f>IF(D84="N/A","N/A",VLOOKUP(D84,'Crosswalk Detail'!A:B,2,FALSE))</f>
        <v>#REF!</v>
      </c>
    </row>
    <row r="85" spans="1:5" ht="144" customHeight="1">
      <c r="A85" s="66">
        <f>'High Risk Non-Compliant'!B40</f>
        <v>0</v>
      </c>
      <c r="B85" s="364">
        <f>'High Risk Non-Compliant'!C40</f>
        <v>0</v>
      </c>
      <c r="C85" s="364"/>
      <c r="D85" s="65" t="e">
        <f>IF(VLOOKUP(A85,'High Risk Non-Compliant'!B:K,$E$49,FALSE)=0,"N/A",VLOOKUP(A85,'High Risk Non-Compliant'!B:K,$E$49,FALSE))</f>
        <v>#REF!</v>
      </c>
      <c r="E85" s="65" t="e">
        <f>IF(D85="N/A","N/A",VLOOKUP(D85,'Crosswalk Detail'!A:B,2,FALSE))</f>
        <v>#REF!</v>
      </c>
    </row>
    <row r="86" spans="1:5" ht="144" customHeight="1">
      <c r="A86" s="66">
        <f>'High Risk Non-Compliant'!B41</f>
        <v>0</v>
      </c>
      <c r="B86" s="364">
        <f>'High Risk Non-Compliant'!C41</f>
        <v>0</v>
      </c>
      <c r="C86" s="364"/>
      <c r="D86" s="65" t="e">
        <f>IF(VLOOKUP(A86,'High Risk Non-Compliant'!B:K,$E$49,FALSE)=0,"N/A",VLOOKUP(A86,'High Risk Non-Compliant'!B:K,$E$49,FALSE))</f>
        <v>#REF!</v>
      </c>
      <c r="E86" s="65" t="e">
        <f>IF(D86="N/A","N/A",VLOOKUP(D86,'Crosswalk Detail'!A:B,2,FALSE))</f>
        <v>#REF!</v>
      </c>
    </row>
    <row r="87" spans="1:5" ht="144" customHeight="1">
      <c r="A87" s="66">
        <f>'High Risk Non-Compliant'!B42</f>
        <v>0</v>
      </c>
      <c r="B87" s="364">
        <f>'High Risk Non-Compliant'!C42</f>
        <v>0</v>
      </c>
      <c r="C87" s="364"/>
      <c r="D87" s="65" t="e">
        <f>IF(VLOOKUP(A87,'High Risk Non-Compliant'!B:K,$E$49,FALSE)=0,"N/A",VLOOKUP(A87,'High Risk Non-Compliant'!B:K,$E$49,FALSE))</f>
        <v>#REF!</v>
      </c>
      <c r="E87" s="65" t="e">
        <f>IF(D87="N/A","N/A",VLOOKUP(D87,'Crosswalk Detail'!A:B,2,FALSE))</f>
        <v>#REF!</v>
      </c>
    </row>
    <row r="88" spans="1:5" ht="144" customHeight="1">
      <c r="A88" s="66">
        <f>'High Risk Non-Compliant'!B43</f>
        <v>0</v>
      </c>
      <c r="B88" s="364">
        <f>'High Risk Non-Compliant'!C43</f>
        <v>0</v>
      </c>
      <c r="C88" s="364"/>
      <c r="D88" s="65" t="e">
        <f>IF(VLOOKUP(A88,'High Risk Non-Compliant'!B:K,$E$49,FALSE)=0,"N/A",VLOOKUP(A88,'High Risk Non-Compliant'!B:K,$E$49,FALSE))</f>
        <v>#REF!</v>
      </c>
      <c r="E88" s="65" t="e">
        <f>IF(D88="N/A","N/A",VLOOKUP(D88,'Crosswalk Detail'!A:B,2,FALSE))</f>
        <v>#REF!</v>
      </c>
    </row>
    <row r="89" spans="1:5" ht="144" customHeight="1">
      <c r="A89" s="66">
        <f>'High Risk Non-Compliant'!B44</f>
        <v>0</v>
      </c>
      <c r="B89" s="364">
        <f>'High Risk Non-Compliant'!C44</f>
        <v>0</v>
      </c>
      <c r="C89" s="364"/>
      <c r="D89" s="65" t="e">
        <f>IF(VLOOKUP(A89,'High Risk Non-Compliant'!B:K,$E$49,FALSE)=0,"N/A",VLOOKUP(A89,'High Risk Non-Compliant'!B:K,$E$49,FALSE))</f>
        <v>#REF!</v>
      </c>
      <c r="E89" s="65" t="e">
        <f>IF(D89="N/A","N/A",VLOOKUP(D89,'Crosswalk Detail'!A:B,2,FALSE))</f>
        <v>#REF!</v>
      </c>
    </row>
    <row r="90" spans="1:5" ht="144" customHeight="1">
      <c r="A90" s="66">
        <f>'High Risk Non-Compliant'!B45</f>
        <v>0</v>
      </c>
      <c r="B90" s="364">
        <f>'High Risk Non-Compliant'!C45</f>
        <v>0</v>
      </c>
      <c r="C90" s="364"/>
      <c r="D90" s="65" t="e">
        <f>IF(VLOOKUP(A90,'High Risk Non-Compliant'!B:K,$E$49,FALSE)=0,"N/A",VLOOKUP(A90,'High Risk Non-Compliant'!B:K,$E$49,FALSE))</f>
        <v>#REF!</v>
      </c>
      <c r="E90" s="65" t="e">
        <f>IF(D90="N/A","N/A",VLOOKUP(D90,'Crosswalk Detail'!A:B,2,FALSE))</f>
        <v>#REF!</v>
      </c>
    </row>
    <row r="91" spans="1:5" ht="144" customHeight="1">
      <c r="A91" s="66">
        <f>'High Risk Non-Compliant'!B46</f>
        <v>0</v>
      </c>
      <c r="B91" s="364">
        <f>'High Risk Non-Compliant'!C46</f>
        <v>0</v>
      </c>
      <c r="C91" s="364"/>
      <c r="D91" s="65" t="e">
        <f>IF(VLOOKUP(A91,'High Risk Non-Compliant'!B:K,$E$49,FALSE)=0,"N/A",VLOOKUP(A91,'High Risk Non-Compliant'!B:K,$E$49,FALSE))</f>
        <v>#REF!</v>
      </c>
      <c r="E91" s="65" t="e">
        <f>IF(D91="N/A","N/A",VLOOKUP(D91,'Crosswalk Detail'!A:B,2,FALSE))</f>
        <v>#REF!</v>
      </c>
    </row>
    <row r="92" spans="1:5" ht="144" customHeight="1">
      <c r="A92" s="66">
        <f>'High Risk Non-Compliant'!B47</f>
        <v>0</v>
      </c>
      <c r="B92" s="364">
        <f>'High Risk Non-Compliant'!C47</f>
        <v>0</v>
      </c>
      <c r="C92" s="364"/>
      <c r="D92" s="65" t="e">
        <f>IF(VLOOKUP(A92,'High Risk Non-Compliant'!B:K,$E$49,FALSE)=0,"N/A",VLOOKUP(A92,'High Risk Non-Compliant'!B:K,$E$49,FALSE))</f>
        <v>#REF!</v>
      </c>
      <c r="E92" s="65" t="e">
        <f>IF(D92="N/A","N/A",VLOOKUP(D92,'Crosswalk Detail'!A:B,2,FALSE))</f>
        <v>#REF!</v>
      </c>
    </row>
    <row r="93" spans="1:5" ht="144" customHeight="1">
      <c r="A93" s="66">
        <f>'High Risk Non-Compliant'!B48</f>
        <v>0</v>
      </c>
      <c r="B93" s="364">
        <f>'High Risk Non-Compliant'!C48</f>
        <v>0</v>
      </c>
      <c r="C93" s="364"/>
      <c r="D93" s="65" t="e">
        <f>IF(VLOOKUP(A93,'High Risk Non-Compliant'!B:K,$E$49,FALSE)=0,"N/A",VLOOKUP(A93,'High Risk Non-Compliant'!B:K,$E$49,FALSE))</f>
        <v>#REF!</v>
      </c>
      <c r="E93" s="65" t="e">
        <f>IF(D93="N/A","N/A",VLOOKUP(D93,'Crosswalk Detail'!A:B,2,FALSE))</f>
        <v>#REF!</v>
      </c>
    </row>
    <row r="94" spans="1:5" ht="144" customHeight="1">
      <c r="A94" s="66">
        <f>'High Risk Non-Compliant'!B49</f>
        <v>0</v>
      </c>
      <c r="B94" s="364">
        <f>'High Risk Non-Compliant'!C49</f>
        <v>0</v>
      </c>
      <c r="C94" s="364"/>
      <c r="D94" s="65" t="e">
        <f>IF(VLOOKUP(A94,'High Risk Non-Compliant'!B:K,$E$49,FALSE)=0,"N/A",VLOOKUP(A94,'High Risk Non-Compliant'!B:K,$E$49,FALSE))</f>
        <v>#REF!</v>
      </c>
      <c r="E94" s="65" t="e">
        <f>IF(D94="N/A","N/A",VLOOKUP(D94,'Crosswalk Detail'!A:B,2,FALSE))</f>
        <v>#REF!</v>
      </c>
    </row>
    <row r="95" spans="1:5" ht="144" customHeight="1">
      <c r="A95" s="66">
        <f>'High Risk Non-Compliant'!B50</f>
        <v>0</v>
      </c>
      <c r="B95" s="364">
        <f>'High Risk Non-Compliant'!C50</f>
        <v>0</v>
      </c>
      <c r="C95" s="364"/>
      <c r="D95" s="65" t="e">
        <f>IF(VLOOKUP(A95,'High Risk Non-Compliant'!B:K,$E$49,FALSE)=0,"N/A",VLOOKUP(A95,'High Risk Non-Compliant'!B:K,$E$49,FALSE))</f>
        <v>#REF!</v>
      </c>
      <c r="E95" s="65" t="e">
        <f>IF(D95="N/A","N/A",VLOOKUP(D95,'Crosswalk Detail'!A:B,2,FALSE))</f>
        <v>#REF!</v>
      </c>
    </row>
    <row r="96" spans="1:5" ht="144" customHeight="1">
      <c r="A96" s="66">
        <f>'High Risk Non-Compliant'!B51</f>
        <v>0</v>
      </c>
      <c r="B96" s="364">
        <f>'High Risk Non-Compliant'!C51</f>
        <v>0</v>
      </c>
      <c r="C96" s="364"/>
      <c r="D96" s="65" t="e">
        <f>IF(VLOOKUP(A96,'High Risk Non-Compliant'!B:K,$E$49,FALSE)=0,"N/A",VLOOKUP(A96,'High Risk Non-Compliant'!B:K,$E$49,FALSE))</f>
        <v>#REF!</v>
      </c>
      <c r="E96" s="65" t="e">
        <f>IF(D96="N/A","N/A",VLOOKUP(D96,'Crosswalk Detail'!A:B,2,FALSE))</f>
        <v>#REF!</v>
      </c>
    </row>
    <row r="97" spans="1:5" ht="144" customHeight="1">
      <c r="A97" s="66">
        <f>'High Risk Non-Compliant'!B52</f>
        <v>0</v>
      </c>
      <c r="B97" s="364">
        <f>'High Risk Non-Compliant'!C52</f>
        <v>0</v>
      </c>
      <c r="C97" s="364"/>
      <c r="D97" s="65" t="e">
        <f>IF(VLOOKUP(A97,'High Risk Non-Compliant'!B:K,$E$49,FALSE)=0,"N/A",VLOOKUP(A97,'High Risk Non-Compliant'!B:K,$E$49,FALSE))</f>
        <v>#REF!</v>
      </c>
      <c r="E97" s="65" t="e">
        <f>IF(D97="N/A","N/A",VLOOKUP(D97,'Crosswalk Detail'!A:B,2,FALSE))</f>
        <v>#REF!</v>
      </c>
    </row>
    <row r="98" spans="1:5" ht="144" customHeight="1">
      <c r="A98" s="66">
        <f>'High Risk Non-Compliant'!B53</f>
        <v>0</v>
      </c>
      <c r="B98" s="364">
        <f>'High Risk Non-Compliant'!C53</f>
        <v>0</v>
      </c>
      <c r="C98" s="364"/>
      <c r="D98" s="65" t="e">
        <f>IF(VLOOKUP(A98,'High Risk Non-Compliant'!B:K,$E$49,FALSE)=0,"N/A",VLOOKUP(A98,'High Risk Non-Compliant'!B:K,$E$49,FALSE))</f>
        <v>#REF!</v>
      </c>
      <c r="E98" s="65" t="e">
        <f>IF(D98="N/A","N/A",VLOOKUP(D98,'Crosswalk Detail'!A:B,2,FALSE))</f>
        <v>#REF!</v>
      </c>
    </row>
    <row r="99" spans="1:5" ht="144" customHeight="1">
      <c r="A99" s="66">
        <f>'High Risk Non-Compliant'!B54</f>
        <v>0</v>
      </c>
      <c r="B99" s="364">
        <f>'High Risk Non-Compliant'!C54</f>
        <v>0</v>
      </c>
      <c r="C99" s="364"/>
      <c r="D99" s="65" t="e">
        <f>IF(VLOOKUP(A99,'High Risk Non-Compliant'!B:K,$E$49,FALSE)=0,"N/A",VLOOKUP(A99,'High Risk Non-Compliant'!B:K,$E$49,FALSE))</f>
        <v>#REF!</v>
      </c>
      <c r="E99" s="65" t="e">
        <f>IF(D99="N/A","N/A",VLOOKUP(D99,'Crosswalk Detail'!A:B,2,FALSE))</f>
        <v>#REF!</v>
      </c>
    </row>
    <row r="100" spans="1:5" ht="144" customHeight="1">
      <c r="A100" s="66">
        <f>'High Risk Non-Compliant'!B55</f>
        <v>0</v>
      </c>
      <c r="B100" s="364">
        <f>'High Risk Non-Compliant'!C55</f>
        <v>0</v>
      </c>
      <c r="C100" s="364"/>
      <c r="D100" s="65" t="e">
        <f>IF(VLOOKUP(A100,'High Risk Non-Compliant'!B:K,$E$49,FALSE)=0,"N/A",VLOOKUP(A100,'High Risk Non-Compliant'!B:K,$E$49,FALSE))</f>
        <v>#REF!</v>
      </c>
      <c r="E100" s="65" t="e">
        <f>IF(D100="N/A","N/A",VLOOKUP(D100,'Crosswalk Detail'!A:B,2,FALSE))</f>
        <v>#REF!</v>
      </c>
    </row>
    <row r="101" spans="1:5" ht="144" customHeight="1">
      <c r="A101" s="66">
        <f>'High Risk Non-Compliant'!B56</f>
        <v>0</v>
      </c>
      <c r="B101" s="364">
        <f>'High Risk Non-Compliant'!C56</f>
        <v>0</v>
      </c>
      <c r="C101" s="364"/>
      <c r="D101" s="65" t="e">
        <f>IF(VLOOKUP(A101,'High Risk Non-Compliant'!B:K,$E$49,FALSE)=0,"N/A",VLOOKUP(A101,'High Risk Non-Compliant'!B:K,$E$49,FALSE))</f>
        <v>#REF!</v>
      </c>
      <c r="E101" s="65" t="e">
        <f>IF(D101="N/A","N/A",VLOOKUP(D101,'Crosswalk Detail'!A:B,2,FALSE))</f>
        <v>#REF!</v>
      </c>
    </row>
    <row r="102" spans="1:5" ht="144" customHeight="1">
      <c r="A102" s="66">
        <f>'High Risk Non-Compliant'!B57</f>
        <v>0</v>
      </c>
      <c r="B102" s="364">
        <f>'High Risk Non-Compliant'!C57</f>
        <v>0</v>
      </c>
      <c r="C102" s="364"/>
      <c r="D102" s="65" t="e">
        <f>IF(VLOOKUP(A102,'High Risk Non-Compliant'!B:K,$E$49,FALSE)=0,"N/A",VLOOKUP(A102,'High Risk Non-Compliant'!B:K,$E$49,FALSE))</f>
        <v>#REF!</v>
      </c>
      <c r="E102" s="65" t="e">
        <f>IF(D102="N/A","N/A",VLOOKUP(D102,'Crosswalk Detail'!A:B,2,FALSE))</f>
        <v>#REF!</v>
      </c>
    </row>
    <row r="103" spans="1:5" ht="144" customHeight="1">
      <c r="A103" s="66">
        <f>'High Risk Non-Compliant'!B58</f>
        <v>0</v>
      </c>
      <c r="B103" s="364">
        <f>'High Risk Non-Compliant'!C58</f>
        <v>0</v>
      </c>
      <c r="C103" s="364"/>
      <c r="D103" s="65" t="e">
        <f>IF(VLOOKUP(A103,'High Risk Non-Compliant'!B:K,$E$49,FALSE)=0,"N/A",VLOOKUP(A103,'High Risk Non-Compliant'!B:K,$E$49,FALSE))</f>
        <v>#REF!</v>
      </c>
      <c r="E103" s="65" t="e">
        <f>IF(D103="N/A","N/A",VLOOKUP(D103,'Crosswalk Detail'!A:B,2,FALSE))</f>
        <v>#REF!</v>
      </c>
    </row>
    <row r="104" spans="1:5" ht="144" customHeight="1">
      <c r="A104" s="66">
        <f>'High Risk Non-Compliant'!B59</f>
        <v>0</v>
      </c>
      <c r="B104" s="364">
        <f>'High Risk Non-Compliant'!C59</f>
        <v>0</v>
      </c>
      <c r="C104" s="364"/>
      <c r="D104" s="65" t="e">
        <f>IF(VLOOKUP(A104,'High Risk Non-Compliant'!B:K,$E$49,FALSE)=0,"N/A",VLOOKUP(A104,'High Risk Non-Compliant'!B:K,$E$49,FALSE))</f>
        <v>#REF!</v>
      </c>
      <c r="E104" s="65" t="e">
        <f>IF(D104="N/A","N/A",VLOOKUP(D104,'Crosswalk Detail'!A:B,2,FALSE))</f>
        <v>#REF!</v>
      </c>
    </row>
    <row r="105" spans="1:5" ht="144" customHeight="1">
      <c r="A105" s="66">
        <f>'High Risk Non-Compliant'!B60</f>
        <v>0</v>
      </c>
      <c r="B105" s="364">
        <f>'High Risk Non-Compliant'!C60</f>
        <v>0</v>
      </c>
      <c r="C105" s="364"/>
      <c r="D105" s="65" t="e">
        <f>IF(VLOOKUP(A105,'High Risk Non-Compliant'!B:K,$E$49,FALSE)=0,"N/A",VLOOKUP(A105,'High Risk Non-Compliant'!B:K,$E$49,FALSE))</f>
        <v>#REF!</v>
      </c>
      <c r="E105" s="65" t="e">
        <f>IF(D105="N/A","N/A",VLOOKUP(D105,'Crosswalk Detail'!A:B,2,FALSE))</f>
        <v>#REF!</v>
      </c>
    </row>
    <row r="106" spans="1:5" ht="144" customHeight="1">
      <c r="A106" s="66">
        <f>'High Risk Non-Compliant'!B61</f>
        <v>0</v>
      </c>
      <c r="B106" s="364">
        <f>'High Risk Non-Compliant'!C61</f>
        <v>0</v>
      </c>
      <c r="C106" s="364"/>
      <c r="D106" s="65" t="e">
        <f>IF(VLOOKUP(A106,'High Risk Non-Compliant'!B:K,$E$49,FALSE)=0,"N/A",VLOOKUP(A106,'High Risk Non-Compliant'!B:K,$E$49,FALSE))</f>
        <v>#REF!</v>
      </c>
      <c r="E106" s="65" t="e">
        <f>IF(D106="N/A","N/A",VLOOKUP(D106,'Crosswalk Detail'!A:B,2,FALSE))</f>
        <v>#REF!</v>
      </c>
    </row>
    <row r="107" spans="1:5" ht="144" customHeight="1">
      <c r="A107" s="66">
        <f>'High Risk Non-Compliant'!B62</f>
        <v>0</v>
      </c>
      <c r="B107" s="364">
        <f>'High Risk Non-Compliant'!C62</f>
        <v>0</v>
      </c>
      <c r="C107" s="364"/>
      <c r="D107" s="65" t="e">
        <f>IF(VLOOKUP(A107,'High Risk Non-Compliant'!B:K,$E$49,FALSE)=0,"N/A",VLOOKUP(A107,'High Risk Non-Compliant'!B:K,$E$49,FALSE))</f>
        <v>#REF!</v>
      </c>
      <c r="E107" s="65" t="e">
        <f>IF(D107="N/A","N/A",VLOOKUP(D107,'Crosswalk Detail'!A:B,2,FALSE))</f>
        <v>#REF!</v>
      </c>
    </row>
    <row r="108" spans="1:5" ht="144" customHeight="1">
      <c r="A108" s="66">
        <f>'High Risk Non-Compliant'!B63</f>
        <v>0</v>
      </c>
      <c r="B108" s="364">
        <f>'High Risk Non-Compliant'!C63</f>
        <v>0</v>
      </c>
      <c r="C108" s="364"/>
      <c r="D108" s="65" t="e">
        <f>IF(VLOOKUP(A108,'High Risk Non-Compliant'!B:K,$E$49,FALSE)=0,"N/A",VLOOKUP(A108,'High Risk Non-Compliant'!B:K,$E$49,FALSE))</f>
        <v>#REF!</v>
      </c>
      <c r="E108" s="65" t="e">
        <f>IF(D108="N/A","N/A",VLOOKUP(D108,'Crosswalk Detail'!A:B,2,FALSE))</f>
        <v>#REF!</v>
      </c>
    </row>
    <row r="109" spans="1:5" ht="144" customHeight="1">
      <c r="A109" s="66">
        <f>'High Risk Non-Compliant'!B64</f>
        <v>0</v>
      </c>
      <c r="B109" s="364">
        <f>'High Risk Non-Compliant'!C64</f>
        <v>0</v>
      </c>
      <c r="C109" s="364"/>
      <c r="D109" s="65" t="e">
        <f>IF(VLOOKUP(A109,'High Risk Non-Compliant'!B:K,$E$49,FALSE)=0,"N/A",VLOOKUP(A109,'High Risk Non-Compliant'!B:K,$E$49,FALSE))</f>
        <v>#REF!</v>
      </c>
      <c r="E109" s="65" t="e">
        <f>IF(D109="N/A","N/A",VLOOKUP(D109,'Crosswalk Detail'!A:B,2,FALSE))</f>
        <v>#REF!</v>
      </c>
    </row>
    <row r="110" spans="1:5" ht="144" customHeight="1">
      <c r="A110" s="66">
        <f>'High Risk Non-Compliant'!B65</f>
        <v>0</v>
      </c>
      <c r="B110" s="364">
        <f>'High Risk Non-Compliant'!C65</f>
        <v>0</v>
      </c>
      <c r="C110" s="364"/>
      <c r="D110" s="65" t="e">
        <f>IF(VLOOKUP(A110,'High Risk Non-Compliant'!B:K,$E$49,FALSE)=0,"N/A",VLOOKUP(A110,'High Risk Non-Compliant'!B:K,$E$49,FALSE))</f>
        <v>#REF!</v>
      </c>
      <c r="E110" s="65" t="e">
        <f>IF(D110="N/A","N/A",VLOOKUP(D110,'Crosswalk Detail'!A:B,2,FALSE))</f>
        <v>#REF!</v>
      </c>
    </row>
    <row r="111" spans="1:5" ht="144" customHeight="1">
      <c r="A111" s="66">
        <f>'High Risk Non-Compliant'!B66</f>
        <v>0</v>
      </c>
      <c r="B111" s="364">
        <f>'High Risk Non-Compliant'!C66</f>
        <v>0</v>
      </c>
      <c r="C111" s="364"/>
      <c r="D111" s="65" t="e">
        <f>IF(VLOOKUP(A111,'High Risk Non-Compliant'!B:K,$E$49,FALSE)=0,"N/A",VLOOKUP(A111,'High Risk Non-Compliant'!B:K,$E$49,FALSE))</f>
        <v>#REF!</v>
      </c>
      <c r="E111" s="65" t="e">
        <f>IF(D111="N/A","N/A",VLOOKUP(D111,'Crosswalk Detail'!A:B,2,FALSE))</f>
        <v>#REF!</v>
      </c>
    </row>
    <row r="112" spans="1:5" ht="144" customHeight="1">
      <c r="A112" s="66">
        <f>'High Risk Non-Compliant'!B67</f>
        <v>0</v>
      </c>
      <c r="B112" s="364">
        <f>'High Risk Non-Compliant'!C67</f>
        <v>0</v>
      </c>
      <c r="C112" s="364"/>
      <c r="D112" s="65" t="e">
        <f>IF(VLOOKUP(A112,'High Risk Non-Compliant'!B:K,$E$49,FALSE)=0,"N/A",VLOOKUP(A112,'High Risk Non-Compliant'!B:K,$E$49,FALSE))</f>
        <v>#REF!</v>
      </c>
      <c r="E112" s="65" t="e">
        <f>IF(D112="N/A","N/A",VLOOKUP(D112,'Crosswalk Detail'!A:B,2,FALSE))</f>
        <v>#REF!</v>
      </c>
    </row>
    <row r="113" spans="1:5" ht="144" customHeight="1">
      <c r="A113" s="66">
        <f>'High Risk Non-Compliant'!B68</f>
        <v>0</v>
      </c>
      <c r="B113" s="364">
        <f>'High Risk Non-Compliant'!C68</f>
        <v>0</v>
      </c>
      <c r="C113" s="364"/>
      <c r="D113" s="65" t="e">
        <f>IF(VLOOKUP(A113,'High Risk Non-Compliant'!B:K,$E$49,FALSE)=0,"N/A",VLOOKUP(A113,'High Risk Non-Compliant'!B:K,$E$49,FALSE))</f>
        <v>#REF!</v>
      </c>
      <c r="E113" s="65" t="e">
        <f>IF(D113="N/A","N/A",VLOOKUP(D113,'Crosswalk Detail'!A:B,2,FALSE))</f>
        <v>#REF!</v>
      </c>
    </row>
    <row r="114" spans="1:5" ht="144" customHeight="1">
      <c r="A114" s="66">
        <f>'High Risk Non-Compliant'!B69</f>
        <v>0</v>
      </c>
      <c r="B114" s="364">
        <f>'High Risk Non-Compliant'!C69</f>
        <v>0</v>
      </c>
      <c r="C114" s="364"/>
      <c r="D114" s="65" t="e">
        <f>IF(VLOOKUP(A114,'High Risk Non-Compliant'!B:K,$E$49,FALSE)=0,"N/A",VLOOKUP(A114,'High Risk Non-Compliant'!B:K,$E$49,FALSE))</f>
        <v>#REF!</v>
      </c>
      <c r="E114" s="65" t="e">
        <f>IF(D114="N/A","N/A",VLOOKUP(D114,'Crosswalk Detail'!A:B,2,FALSE))</f>
        <v>#REF!</v>
      </c>
    </row>
    <row r="115" spans="1:5" ht="144" customHeight="1">
      <c r="A115" s="66">
        <f>'High Risk Non-Compliant'!B70</f>
        <v>0</v>
      </c>
      <c r="B115" s="364">
        <f>'High Risk Non-Compliant'!C70</f>
        <v>0</v>
      </c>
      <c r="C115" s="364"/>
      <c r="D115" s="65" t="e">
        <f>IF(VLOOKUP(A115,'High Risk Non-Compliant'!B:K,$E$49,FALSE)=0,"N/A",VLOOKUP(A115,'High Risk Non-Compliant'!B:K,$E$49,FALSE))</f>
        <v>#REF!</v>
      </c>
      <c r="E115" s="65" t="e">
        <f>IF(D115="N/A","N/A",VLOOKUP(D115,'Crosswalk Detail'!A:B,2,FALSE))</f>
        <v>#REF!</v>
      </c>
    </row>
    <row r="116" spans="1:5" ht="144" customHeight="1">
      <c r="A116" s="66">
        <f>'High Risk Non-Compliant'!B71</f>
        <v>0</v>
      </c>
      <c r="B116" s="364">
        <f>'High Risk Non-Compliant'!C71</f>
        <v>0</v>
      </c>
      <c r="C116" s="364"/>
      <c r="D116" s="65" t="e">
        <f>IF(VLOOKUP(A116,'High Risk Non-Compliant'!B:K,$E$49,FALSE)=0,"N/A",VLOOKUP(A116,'High Risk Non-Compliant'!B:K,$E$49,FALSE))</f>
        <v>#REF!</v>
      </c>
      <c r="E116" s="65" t="e">
        <f>IF(D116="N/A","N/A",VLOOKUP(D116,'Crosswalk Detail'!A:B,2,FALSE))</f>
        <v>#REF!</v>
      </c>
    </row>
    <row r="117" spans="1:5" ht="144" customHeight="1">
      <c r="A117" s="66">
        <f>'High Risk Non-Compliant'!B72</f>
        <v>0</v>
      </c>
      <c r="B117" s="364">
        <f>'High Risk Non-Compliant'!C72</f>
        <v>0</v>
      </c>
      <c r="C117" s="364"/>
      <c r="D117" s="65" t="e">
        <f>IF(VLOOKUP(A117,'High Risk Non-Compliant'!B:K,$E$49,FALSE)=0,"N/A",VLOOKUP(A117,'High Risk Non-Compliant'!B:K,$E$49,FALSE))</f>
        <v>#REF!</v>
      </c>
      <c r="E117" s="65" t="e">
        <f>IF(D117="N/A","N/A",VLOOKUP(D117,'Crosswalk Detail'!A:B,2,FALSE))</f>
        <v>#REF!</v>
      </c>
    </row>
    <row r="118" spans="1:5" ht="144" customHeight="1">
      <c r="A118" s="66">
        <f>'High Risk Non-Compliant'!B73</f>
        <v>0</v>
      </c>
      <c r="B118" s="364">
        <f>'High Risk Non-Compliant'!C73</f>
        <v>0</v>
      </c>
      <c r="C118" s="364"/>
      <c r="D118" s="65" t="e">
        <f>IF(VLOOKUP(A118,'High Risk Non-Compliant'!B:K,$E$49,FALSE)=0,"N/A",VLOOKUP(A118,'High Risk Non-Compliant'!B:K,$E$49,FALSE))</f>
        <v>#REF!</v>
      </c>
      <c r="E118" s="65" t="e">
        <f>IF(D118="N/A","N/A",VLOOKUP(D118,'Crosswalk Detail'!A:B,2,FALSE))</f>
        <v>#REF!</v>
      </c>
    </row>
    <row r="119" spans="1:5" ht="144" customHeight="1">
      <c r="A119" s="66">
        <f>'High Risk Non-Compliant'!B74</f>
        <v>0</v>
      </c>
      <c r="B119" s="364">
        <f>'High Risk Non-Compliant'!C74</f>
        <v>0</v>
      </c>
      <c r="C119" s="364"/>
      <c r="D119" s="65" t="e">
        <f>IF(VLOOKUP(A119,'High Risk Non-Compliant'!B:K,$E$49,FALSE)=0,"N/A",VLOOKUP(A119,'High Risk Non-Compliant'!B:K,$E$49,FALSE))</f>
        <v>#REF!</v>
      </c>
      <c r="E119" s="65" t="e">
        <f>IF(D119="N/A","N/A",VLOOKUP(D119,'Crosswalk Detail'!A:B,2,FALSE))</f>
        <v>#REF!</v>
      </c>
    </row>
    <row r="120" spans="1:5" ht="144" customHeight="1">
      <c r="A120" s="66">
        <f>'High Risk Non-Compliant'!B75</f>
        <v>0</v>
      </c>
      <c r="B120" s="364">
        <f>'High Risk Non-Compliant'!C75</f>
        <v>0</v>
      </c>
      <c r="C120" s="364"/>
      <c r="D120" s="65" t="e">
        <f>IF(VLOOKUP(A120,'High Risk Non-Compliant'!B:K,$E$49,FALSE)=0,"N/A",VLOOKUP(A120,'High Risk Non-Compliant'!B:K,$E$49,FALSE))</f>
        <v>#REF!</v>
      </c>
      <c r="E120" s="65" t="e">
        <f>IF(D120="N/A","N/A",VLOOKUP(D120,'Crosswalk Detail'!A:B,2,FALSE))</f>
        <v>#REF!</v>
      </c>
    </row>
    <row r="121" spans="1:5" ht="144" customHeight="1">
      <c r="A121" s="66">
        <f>'High Risk Non-Compliant'!B76</f>
        <v>0</v>
      </c>
      <c r="B121" s="364">
        <f>'High Risk Non-Compliant'!C76</f>
        <v>0</v>
      </c>
      <c r="C121" s="364"/>
      <c r="D121" s="65" t="e">
        <f>IF(VLOOKUP(A121,'High Risk Non-Compliant'!B:K,$E$49,FALSE)=0,"N/A",VLOOKUP(A121,'High Risk Non-Compliant'!B:K,$E$49,FALSE))</f>
        <v>#REF!</v>
      </c>
      <c r="E121" s="65" t="e">
        <f>IF(D121="N/A","N/A",VLOOKUP(D121,'Crosswalk Detail'!A:B,2,FALSE))</f>
        <v>#REF!</v>
      </c>
    </row>
    <row r="122" spans="1:5" ht="144" customHeight="1">
      <c r="A122" s="66">
        <f>'High Risk Non-Compliant'!B77</f>
        <v>0</v>
      </c>
      <c r="B122" s="364">
        <f>'High Risk Non-Compliant'!C77</f>
        <v>0</v>
      </c>
      <c r="C122" s="364"/>
      <c r="D122" s="65" t="e">
        <f>IF(VLOOKUP(A122,'High Risk Non-Compliant'!B:K,$E$49,FALSE)=0,"N/A",VLOOKUP(A122,'High Risk Non-Compliant'!B:K,$E$49,FALSE))</f>
        <v>#REF!</v>
      </c>
      <c r="E122" s="65" t="e">
        <f>IF(D122="N/A","N/A",VLOOKUP(D122,'Crosswalk Detail'!A:B,2,FALSE))</f>
        <v>#REF!</v>
      </c>
    </row>
    <row r="123" spans="1:5" ht="144" customHeight="1">
      <c r="A123" s="66">
        <f>'High Risk Non-Compliant'!B78</f>
        <v>0</v>
      </c>
      <c r="B123" s="364">
        <f>'High Risk Non-Compliant'!C78</f>
        <v>0</v>
      </c>
      <c r="C123" s="364"/>
      <c r="D123" s="65" t="e">
        <f>IF(VLOOKUP(A123,'High Risk Non-Compliant'!B:K,$E$49,FALSE)=0,"N/A",VLOOKUP(A123,'High Risk Non-Compliant'!B:K,$E$49,FALSE))</f>
        <v>#REF!</v>
      </c>
      <c r="E123" s="65" t="e">
        <f>IF(D123="N/A","N/A",VLOOKUP(D123,'Crosswalk Detail'!A:B,2,FALSE))</f>
        <v>#REF!</v>
      </c>
    </row>
    <row r="124" spans="1:5" ht="144" customHeight="1">
      <c r="A124" s="66">
        <f>'High Risk Non-Compliant'!B79</f>
        <v>0</v>
      </c>
      <c r="B124" s="364">
        <f>'High Risk Non-Compliant'!C79</f>
        <v>0</v>
      </c>
      <c r="C124" s="364"/>
      <c r="D124" s="65" t="e">
        <f>IF(VLOOKUP(A124,'High Risk Non-Compliant'!B:K,$E$49,FALSE)=0,"N/A",VLOOKUP(A124,'High Risk Non-Compliant'!B:K,$E$49,FALSE))</f>
        <v>#REF!</v>
      </c>
      <c r="E124" s="65" t="e">
        <f>IF(D124="N/A","N/A",VLOOKUP(D124,'Crosswalk Detail'!A:B,2,FALSE))</f>
        <v>#REF!</v>
      </c>
    </row>
    <row r="125" spans="1:5" ht="144" customHeight="1">
      <c r="A125" s="66">
        <f>'High Risk Non-Compliant'!B80</f>
        <v>0</v>
      </c>
      <c r="B125" s="364">
        <f>'High Risk Non-Compliant'!C80</f>
        <v>0</v>
      </c>
      <c r="C125" s="364"/>
      <c r="D125" s="65" t="e">
        <f>IF(VLOOKUP(A125,'High Risk Non-Compliant'!B:K,$E$49,FALSE)=0,"N/A",VLOOKUP(A125,'High Risk Non-Compliant'!B:K,$E$49,FALSE))</f>
        <v>#REF!</v>
      </c>
      <c r="E125" s="65" t="e">
        <f>IF(D125="N/A","N/A",VLOOKUP(D125,'Crosswalk Detail'!A:B,2,FALSE))</f>
        <v>#REF!</v>
      </c>
    </row>
    <row r="126" spans="1:5" ht="144" customHeight="1">
      <c r="A126" s="66">
        <f>'High Risk Non-Compliant'!B81</f>
        <v>0</v>
      </c>
      <c r="B126" s="364">
        <f>'High Risk Non-Compliant'!C81</f>
        <v>0</v>
      </c>
      <c r="C126" s="364"/>
      <c r="D126" s="65" t="e">
        <f>IF(VLOOKUP(A126,'High Risk Non-Compliant'!B:K,$E$49,FALSE)=0,"N/A",VLOOKUP(A126,'High Risk Non-Compliant'!B:K,$E$49,FALSE))</f>
        <v>#REF!</v>
      </c>
      <c r="E126" s="65" t="e">
        <f>IF(D126="N/A","N/A",VLOOKUP(D126,'Crosswalk Detail'!A:B,2,FALSE))</f>
        <v>#REF!</v>
      </c>
    </row>
    <row r="127" spans="1:5" ht="144" customHeight="1">
      <c r="A127" s="66">
        <f>'High Risk Non-Compliant'!B82</f>
        <v>0</v>
      </c>
      <c r="B127" s="364">
        <f>'High Risk Non-Compliant'!C82</f>
        <v>0</v>
      </c>
      <c r="C127" s="364"/>
      <c r="D127" s="65" t="e">
        <f>IF(VLOOKUP(A127,'High Risk Non-Compliant'!B:K,$E$49,FALSE)=0,"N/A",VLOOKUP(A127,'High Risk Non-Compliant'!B:K,$E$49,FALSE))</f>
        <v>#REF!</v>
      </c>
      <c r="E127" s="65" t="e">
        <f>IF(D127="N/A","N/A",VLOOKUP(D127,'Crosswalk Detail'!A:B,2,FALSE))</f>
        <v>#REF!</v>
      </c>
    </row>
    <row r="128" spans="1:5" ht="144" customHeight="1">
      <c r="A128" s="66">
        <f>'High Risk Non-Compliant'!B83</f>
        <v>0</v>
      </c>
      <c r="B128" s="364">
        <f>'High Risk Non-Compliant'!C83</f>
        <v>0</v>
      </c>
      <c r="C128" s="364"/>
      <c r="D128" s="65" t="e">
        <f>IF(VLOOKUP(A128,'High Risk Non-Compliant'!B:K,$E$49,FALSE)=0,"N/A",VLOOKUP(A128,'High Risk Non-Compliant'!B:K,$E$49,FALSE))</f>
        <v>#REF!</v>
      </c>
      <c r="E128" s="65" t="e">
        <f>IF(D128="N/A","N/A",VLOOKUP(D128,'Crosswalk Detail'!A:B,2,FALSE))</f>
        <v>#REF!</v>
      </c>
    </row>
    <row r="129" spans="1:5" ht="144" customHeight="1">
      <c r="A129" s="66">
        <f>'High Risk Non-Compliant'!B84</f>
        <v>0</v>
      </c>
      <c r="B129" s="364">
        <f>'High Risk Non-Compliant'!C84</f>
        <v>0</v>
      </c>
      <c r="C129" s="364"/>
      <c r="D129" s="65" t="e">
        <f>IF(VLOOKUP(A129,'High Risk Non-Compliant'!B:K,$E$49,FALSE)=0,"N/A",VLOOKUP(A129,'High Risk Non-Compliant'!B:K,$E$49,FALSE))</f>
        <v>#REF!</v>
      </c>
      <c r="E129" s="65" t="e">
        <f>IF(D129="N/A","N/A",VLOOKUP(D129,'Crosswalk Detail'!A:B,2,FALSE))</f>
        <v>#REF!</v>
      </c>
    </row>
    <row r="130" spans="1:5" ht="144" customHeight="1">
      <c r="A130" s="66">
        <f>'High Risk Non-Compliant'!B85</f>
        <v>0</v>
      </c>
      <c r="B130" s="364">
        <f>'High Risk Non-Compliant'!C85</f>
        <v>0</v>
      </c>
      <c r="C130" s="364"/>
      <c r="D130" s="65" t="e">
        <f>IF(VLOOKUP(A130,'High Risk Non-Compliant'!B:K,$E$49,FALSE)=0,"N/A",VLOOKUP(A130,'High Risk Non-Compliant'!B:K,$E$49,FALSE))</f>
        <v>#REF!</v>
      </c>
      <c r="E130" s="65" t="e">
        <f>IF(D130="N/A","N/A",VLOOKUP(D130,'Crosswalk Detail'!A:B,2,FALSE))</f>
        <v>#REF!</v>
      </c>
    </row>
    <row r="131" spans="1:5" ht="144" customHeight="1">
      <c r="A131" s="66">
        <f>'High Risk Non-Compliant'!B86</f>
        <v>0</v>
      </c>
      <c r="B131" s="364">
        <f>'High Risk Non-Compliant'!C86</f>
        <v>0</v>
      </c>
      <c r="C131" s="364"/>
      <c r="D131" s="65" t="e">
        <f>IF(VLOOKUP(A131,'High Risk Non-Compliant'!B:K,$E$49,FALSE)=0,"N/A",VLOOKUP(A131,'High Risk Non-Compliant'!B:K,$E$49,FALSE))</f>
        <v>#REF!</v>
      </c>
      <c r="E131" s="65" t="e">
        <f>IF(D131="N/A","N/A",VLOOKUP(D131,'Crosswalk Detail'!A:B,2,FALSE))</f>
        <v>#REF!</v>
      </c>
    </row>
    <row r="132" spans="1:5" ht="144" customHeight="1">
      <c r="A132" s="66">
        <f>'High Risk Non-Compliant'!B87</f>
        <v>0</v>
      </c>
      <c r="B132" s="364">
        <f>'High Risk Non-Compliant'!C87</f>
        <v>0</v>
      </c>
      <c r="C132" s="364"/>
      <c r="D132" s="65" t="e">
        <f>IF(VLOOKUP(A132,'High Risk Non-Compliant'!B:K,$E$49,FALSE)=0,"N/A",VLOOKUP(A132,'High Risk Non-Compliant'!B:K,$E$49,FALSE))</f>
        <v>#REF!</v>
      </c>
      <c r="E132" s="65" t="e">
        <f>IF(D132="N/A","N/A",VLOOKUP(D132,'Crosswalk Detail'!A:B,2,FALSE))</f>
        <v>#REF!</v>
      </c>
    </row>
    <row r="133" spans="1:5" ht="144" customHeight="1">
      <c r="A133" s="66">
        <f>'High Risk Non-Compliant'!B88</f>
        <v>0</v>
      </c>
      <c r="B133" s="364">
        <f>'High Risk Non-Compliant'!C88</f>
        <v>0</v>
      </c>
      <c r="C133" s="364"/>
      <c r="D133" s="65" t="e">
        <f>IF(VLOOKUP(A133,'High Risk Non-Compliant'!B:K,$E$49,FALSE)=0,"N/A",VLOOKUP(A133,'High Risk Non-Compliant'!B:K,$E$49,FALSE))</f>
        <v>#REF!</v>
      </c>
      <c r="E133" s="65" t="e">
        <f>IF(D133="N/A","N/A",VLOOKUP(D133,'Crosswalk Detail'!A:B,2,FALSE))</f>
        <v>#REF!</v>
      </c>
    </row>
    <row r="134" spans="1:5" ht="144" customHeight="1">
      <c r="A134" s="66">
        <f>'High Risk Non-Compliant'!B89</f>
        <v>0</v>
      </c>
      <c r="B134" s="364">
        <f>'High Risk Non-Compliant'!C89</f>
        <v>0</v>
      </c>
      <c r="C134" s="364"/>
      <c r="D134" s="65" t="e">
        <f>IF(VLOOKUP(A134,'High Risk Non-Compliant'!B:K,$E$49,FALSE)=0,"N/A",VLOOKUP(A134,'High Risk Non-Compliant'!B:K,$E$49,FALSE))</f>
        <v>#REF!</v>
      </c>
      <c r="E134" s="65" t="e">
        <f>IF(D134="N/A","N/A",VLOOKUP(D134,'Crosswalk Detail'!A:B,2,FALSE))</f>
        <v>#REF!</v>
      </c>
    </row>
    <row r="135" spans="1:5" ht="144" customHeight="1">
      <c r="A135" s="66">
        <f>'High Risk Non-Compliant'!B90</f>
        <v>0</v>
      </c>
      <c r="B135" s="364">
        <f>'High Risk Non-Compliant'!C90</f>
        <v>0</v>
      </c>
      <c r="C135" s="364"/>
      <c r="D135" s="65" t="e">
        <f>IF(VLOOKUP(A135,'High Risk Non-Compliant'!B:K,$E$49,FALSE)=0,"N/A",VLOOKUP(A135,'High Risk Non-Compliant'!B:K,$E$49,FALSE))</f>
        <v>#REF!</v>
      </c>
      <c r="E135" s="65" t="e">
        <f>IF(D135="N/A","N/A",VLOOKUP(D135,'Crosswalk Detail'!A:B,2,FALSE))</f>
        <v>#REF!</v>
      </c>
    </row>
    <row r="136" spans="1:5" ht="144" customHeight="1">
      <c r="A136" s="66">
        <f>'High Risk Non-Compliant'!B91</f>
        <v>0</v>
      </c>
      <c r="B136" s="364">
        <f>'High Risk Non-Compliant'!C91</f>
        <v>0</v>
      </c>
      <c r="C136" s="364"/>
      <c r="D136" s="65" t="e">
        <f>IF(VLOOKUP(A136,'High Risk Non-Compliant'!B:K,$E$49,FALSE)=0,"N/A",VLOOKUP(A136,'High Risk Non-Compliant'!B:K,$E$49,FALSE))</f>
        <v>#REF!</v>
      </c>
      <c r="E136" s="65" t="e">
        <f>IF(D136="N/A","N/A",VLOOKUP(D136,'Crosswalk Detail'!A:B,2,FALSE))</f>
        <v>#REF!</v>
      </c>
    </row>
    <row r="137" spans="1:5" ht="144" customHeight="1">
      <c r="A137" s="66">
        <f>'High Risk Non-Compliant'!B92</f>
        <v>0</v>
      </c>
      <c r="B137" s="364">
        <f>'High Risk Non-Compliant'!C92</f>
        <v>0</v>
      </c>
      <c r="C137" s="364"/>
      <c r="D137" s="65" t="e">
        <f>IF(VLOOKUP(A137,'High Risk Non-Compliant'!B:K,$E$49,FALSE)=0,"N/A",VLOOKUP(A137,'High Risk Non-Compliant'!B:K,$E$49,FALSE))</f>
        <v>#REF!</v>
      </c>
      <c r="E137" s="65" t="e">
        <f>IF(D137="N/A","N/A",VLOOKUP(D137,'Crosswalk Detail'!A:B,2,FALSE))</f>
        <v>#REF!</v>
      </c>
    </row>
    <row r="138" spans="1:5" ht="144" customHeight="1">
      <c r="A138" s="66">
        <f>'High Risk Non-Compliant'!B93</f>
        <v>0</v>
      </c>
      <c r="B138" s="364">
        <f>'High Risk Non-Compliant'!C93</f>
        <v>0</v>
      </c>
      <c r="C138" s="364"/>
      <c r="D138" s="65" t="e">
        <f>IF(VLOOKUP(A138,'High Risk Non-Compliant'!B:K,$E$49,FALSE)=0,"N/A",VLOOKUP(A138,'High Risk Non-Compliant'!B:K,$E$49,FALSE))</f>
        <v>#REF!</v>
      </c>
      <c r="E138" s="65" t="e">
        <f>IF(D138="N/A","N/A",VLOOKUP(D138,'Crosswalk Detail'!A:B,2,FALSE))</f>
        <v>#REF!</v>
      </c>
    </row>
    <row r="139" spans="1:5" ht="144" customHeight="1">
      <c r="A139" s="66">
        <f>'High Risk Non-Compliant'!B94</f>
        <v>0</v>
      </c>
      <c r="B139" s="364">
        <f>'High Risk Non-Compliant'!C94</f>
        <v>0</v>
      </c>
      <c r="C139" s="364"/>
      <c r="D139" s="65" t="e">
        <f>IF(VLOOKUP(A139,'High Risk Non-Compliant'!B:K,$E$49,FALSE)=0,"N/A",VLOOKUP(A139,'High Risk Non-Compliant'!B:K,$E$49,FALSE))</f>
        <v>#REF!</v>
      </c>
      <c r="E139" s="65" t="e">
        <f>IF(D139="N/A","N/A",VLOOKUP(D139,'Crosswalk Detail'!A:B,2,FALSE))</f>
        <v>#REF!</v>
      </c>
    </row>
    <row r="140" spans="1:5" ht="144" customHeight="1">
      <c r="A140" s="66">
        <f>'High Risk Non-Compliant'!B95</f>
        <v>0</v>
      </c>
      <c r="B140" s="364">
        <f>'High Risk Non-Compliant'!C95</f>
        <v>0</v>
      </c>
      <c r="C140" s="364"/>
      <c r="D140" s="65" t="e">
        <f>IF(VLOOKUP(A140,'High Risk Non-Compliant'!B:K,$E$49,FALSE)=0,"N/A",VLOOKUP(A140,'High Risk Non-Compliant'!B:K,$E$49,FALSE))</f>
        <v>#REF!</v>
      </c>
      <c r="E140" s="65" t="e">
        <f>IF(D140="N/A","N/A",VLOOKUP(D140,'Crosswalk Detail'!A:B,2,FALSE))</f>
        <v>#REF!</v>
      </c>
    </row>
    <row r="141" spans="1:5" ht="144" customHeight="1">
      <c r="A141" s="66">
        <f>'High Risk Non-Compliant'!B96</f>
        <v>0</v>
      </c>
      <c r="B141" s="364">
        <f>'High Risk Non-Compliant'!C96</f>
        <v>0</v>
      </c>
      <c r="C141" s="364"/>
      <c r="D141" s="65" t="e">
        <f>IF(VLOOKUP(A141,'High Risk Non-Compliant'!B:K,$E$49,FALSE)=0,"N/A",VLOOKUP(A141,'High Risk Non-Compliant'!B:K,$E$49,FALSE))</f>
        <v>#REF!</v>
      </c>
      <c r="E141" s="65" t="e">
        <f>IF(D141="N/A","N/A",VLOOKUP(D141,'Crosswalk Detail'!A:B,2,FALSE))</f>
        <v>#REF!</v>
      </c>
    </row>
    <row r="142" spans="1:5" ht="144" customHeight="1">
      <c r="A142" s="66">
        <f>'High Risk Non-Compliant'!B97</f>
        <v>0</v>
      </c>
      <c r="B142" s="364">
        <f>'High Risk Non-Compliant'!C97</f>
        <v>0</v>
      </c>
      <c r="C142" s="364"/>
      <c r="D142" s="65" t="e">
        <f>IF(VLOOKUP(A142,'High Risk Non-Compliant'!B:K,$E$49,FALSE)=0,"N/A",VLOOKUP(A142,'High Risk Non-Compliant'!B:K,$E$49,FALSE))</f>
        <v>#REF!</v>
      </c>
      <c r="E142" s="65" t="e">
        <f>IF(D142="N/A","N/A",VLOOKUP(D142,'Crosswalk Detail'!A:B,2,FALSE))</f>
        <v>#REF!</v>
      </c>
    </row>
    <row r="143" spans="1:5" ht="144" customHeight="1">
      <c r="A143" s="66">
        <f>'High Risk Non-Compliant'!B98</f>
        <v>0</v>
      </c>
      <c r="B143" s="364">
        <f>'High Risk Non-Compliant'!C98</f>
        <v>0</v>
      </c>
      <c r="C143" s="364"/>
      <c r="D143" s="65" t="e">
        <f>IF(VLOOKUP(A143,'High Risk Non-Compliant'!B:K,$E$49,FALSE)=0,"N/A",VLOOKUP(A143,'High Risk Non-Compliant'!B:K,$E$49,FALSE))</f>
        <v>#REF!</v>
      </c>
      <c r="E143" s="65" t="e">
        <f>IF(D143="N/A","N/A",VLOOKUP(D143,'Crosswalk Detail'!A:B,2,FALSE))</f>
        <v>#REF!</v>
      </c>
    </row>
    <row r="144" spans="1:5" ht="144" customHeight="1">
      <c r="A144" s="66">
        <f>'High Risk Non-Compliant'!B99</f>
        <v>0</v>
      </c>
      <c r="B144" s="364">
        <f>'High Risk Non-Compliant'!C99</f>
        <v>0</v>
      </c>
      <c r="C144" s="364"/>
      <c r="D144" s="65" t="e">
        <f>IF(VLOOKUP(A144,'High Risk Non-Compliant'!B:K,$E$49,FALSE)=0,"N/A",VLOOKUP(A144,'High Risk Non-Compliant'!B:K,$E$49,FALSE))</f>
        <v>#REF!</v>
      </c>
      <c r="E144" s="65" t="e">
        <f>IF(D144="N/A","N/A",VLOOKUP(D144,'Crosswalk Detail'!A:B,2,FALSE))</f>
        <v>#REF!</v>
      </c>
    </row>
    <row r="145" spans="1:5" ht="144" customHeight="1">
      <c r="A145" s="66">
        <f>'High Risk Non-Compliant'!B100</f>
        <v>0</v>
      </c>
      <c r="B145" s="364">
        <f>'High Risk Non-Compliant'!C100</f>
        <v>0</v>
      </c>
      <c r="C145" s="364"/>
      <c r="D145" s="65" t="e">
        <f>IF(VLOOKUP(A145,'High Risk Non-Compliant'!B:K,$E$49,FALSE)=0,"N/A",VLOOKUP(A145,'High Risk Non-Compliant'!B:K,$E$49,FALSE))</f>
        <v>#REF!</v>
      </c>
      <c r="E145" s="65" t="e">
        <f>IF(D145="N/A","N/A",VLOOKUP(D145,'Crosswalk Detail'!A:B,2,FALSE))</f>
        <v>#REF!</v>
      </c>
    </row>
    <row r="146" spans="1:5" ht="144" customHeight="1">
      <c r="A146" s="66">
        <f>'High Risk Non-Compliant'!B101</f>
        <v>0</v>
      </c>
      <c r="B146" s="364">
        <f>'High Risk Non-Compliant'!C101</f>
        <v>0</v>
      </c>
      <c r="C146" s="364"/>
      <c r="D146" s="65" t="e">
        <f>IF(VLOOKUP(A146,'High Risk Non-Compliant'!B:K,$E$49,FALSE)=0,"N/A",VLOOKUP(A146,'High Risk Non-Compliant'!B:K,$E$49,FALSE))</f>
        <v>#REF!</v>
      </c>
      <c r="E146" s="65" t="e">
        <f>IF(D146="N/A","N/A",VLOOKUP(D146,'Crosswalk Detail'!A:B,2,FALSE))</f>
        <v>#REF!</v>
      </c>
    </row>
    <row r="147" spans="1:5" ht="144" customHeight="1">
      <c r="A147" s="66">
        <f>'High Risk Non-Compliant'!B102</f>
        <v>0</v>
      </c>
      <c r="B147" s="364">
        <f>'High Risk Non-Compliant'!C102</f>
        <v>0</v>
      </c>
      <c r="C147" s="364"/>
      <c r="D147" s="65" t="e">
        <f>IF(VLOOKUP(A147,'High Risk Non-Compliant'!B:K,$E$49,FALSE)=0,"N/A",VLOOKUP(A147,'High Risk Non-Compliant'!B:K,$E$49,FALSE))</f>
        <v>#REF!</v>
      </c>
      <c r="E147" s="65" t="e">
        <f>IF(D147="N/A","N/A",VLOOKUP(D147,'Crosswalk Detail'!A:B,2,FALSE))</f>
        <v>#REF!</v>
      </c>
    </row>
    <row r="148" spans="1:5" ht="144" customHeight="1">
      <c r="A148" s="66">
        <f>'High Risk Non-Compliant'!B103</f>
        <v>0</v>
      </c>
      <c r="B148" s="364">
        <f>'High Risk Non-Compliant'!C103</f>
        <v>0</v>
      </c>
      <c r="C148" s="364"/>
      <c r="D148" s="65" t="e">
        <f>IF(VLOOKUP(A148,'High Risk Non-Compliant'!B:K,$E$49,FALSE)=0,"N/A",VLOOKUP(A148,'High Risk Non-Compliant'!B:K,$E$49,FALSE))</f>
        <v>#REF!</v>
      </c>
      <c r="E148" s="65" t="e">
        <f>IF(D148="N/A","N/A",VLOOKUP(D148,'Crosswalk Detail'!A:B,2,FALSE))</f>
        <v>#REF!</v>
      </c>
    </row>
    <row r="149" spans="1:5" ht="144" customHeight="1">
      <c r="A149" s="66">
        <f>'High Risk Non-Compliant'!B104</f>
        <v>0</v>
      </c>
      <c r="B149" s="364">
        <f>'High Risk Non-Compliant'!C104</f>
        <v>0</v>
      </c>
      <c r="C149" s="364"/>
      <c r="D149" s="65" t="e">
        <f>IF(VLOOKUP(A149,'High Risk Non-Compliant'!B:K,$E$49,FALSE)=0,"N/A",VLOOKUP(A149,'High Risk Non-Compliant'!B:K,$E$49,FALSE))</f>
        <v>#REF!</v>
      </c>
      <c r="E149" s="65" t="e">
        <f>IF(D149="N/A","N/A",VLOOKUP(D149,'Crosswalk Detail'!A:B,2,FALSE))</f>
        <v>#REF!</v>
      </c>
    </row>
    <row r="150" spans="1:5" ht="144" customHeight="1">
      <c r="A150" s="66">
        <f>'High Risk Non-Compliant'!B105</f>
        <v>0</v>
      </c>
      <c r="B150" s="364">
        <f>'High Risk Non-Compliant'!C105</f>
        <v>0</v>
      </c>
      <c r="C150" s="364"/>
      <c r="D150" s="65" t="e">
        <f>IF(VLOOKUP(A150,'High Risk Non-Compliant'!B:K,$E$49,FALSE)=0,"N/A",VLOOKUP(A150,'High Risk Non-Compliant'!B:K,$E$49,FALSE))</f>
        <v>#REF!</v>
      </c>
      <c r="E150" s="65" t="e">
        <f>IF(D150="N/A","N/A",VLOOKUP(D150,'Crosswalk Detail'!A:B,2,FALSE))</f>
        <v>#REF!</v>
      </c>
    </row>
    <row r="151" spans="1:5" ht="144" customHeight="1">
      <c r="A151" s="66">
        <f>'High Risk Non-Compliant'!B106</f>
        <v>0</v>
      </c>
      <c r="B151" s="364">
        <f>'High Risk Non-Compliant'!C106</f>
        <v>0</v>
      </c>
      <c r="C151" s="364"/>
      <c r="D151" s="65" t="e">
        <f>IF(VLOOKUP(A151,'High Risk Non-Compliant'!B:K,$E$49,FALSE)=0,"N/A",VLOOKUP(A151,'High Risk Non-Compliant'!B:K,$E$49,FALSE))</f>
        <v>#REF!</v>
      </c>
      <c r="E151" s="65" t="e">
        <f>IF(D151="N/A","N/A",VLOOKUP(D151,'Crosswalk Detail'!A:B,2,FALSE))</f>
        <v>#REF!</v>
      </c>
    </row>
    <row r="152" spans="1:5" ht="144" customHeight="1">
      <c r="A152" s="66">
        <f>'High Risk Non-Compliant'!B107</f>
        <v>0</v>
      </c>
      <c r="B152" s="364">
        <f>'High Risk Non-Compliant'!C107</f>
        <v>0</v>
      </c>
      <c r="C152" s="364"/>
      <c r="D152" s="65" t="e">
        <f>IF(VLOOKUP(A152,'High Risk Non-Compliant'!B:K,$E$49,FALSE)=0,"N/A",VLOOKUP(A152,'High Risk Non-Compliant'!B:K,$E$49,FALSE))</f>
        <v>#REF!</v>
      </c>
      <c r="E152" s="65" t="e">
        <f>IF(D152="N/A","N/A",VLOOKUP(D152,'Crosswalk Detail'!A:B,2,FALSE))</f>
        <v>#REF!</v>
      </c>
    </row>
    <row r="153" spans="1:5" ht="144" customHeight="1">
      <c r="A153" s="66">
        <f>'High Risk Non-Compliant'!B108</f>
        <v>0</v>
      </c>
      <c r="B153" s="364">
        <f>'High Risk Non-Compliant'!C108</f>
        <v>0</v>
      </c>
      <c r="C153" s="364"/>
      <c r="D153" s="65" t="e">
        <f>IF(VLOOKUP(A153,'High Risk Non-Compliant'!B:K,$E$49,FALSE)=0,"N/A",VLOOKUP(A153,'High Risk Non-Compliant'!B:K,$E$49,FALSE))</f>
        <v>#REF!</v>
      </c>
      <c r="E153" s="65" t="e">
        <f>IF(D153="N/A","N/A",VLOOKUP(D153,'Crosswalk Detail'!A:B,2,FALSE))</f>
        <v>#REF!</v>
      </c>
    </row>
    <row r="154" spans="1:5" ht="144" customHeight="1">
      <c r="A154" s="66">
        <f>'High Risk Non-Compliant'!B109</f>
        <v>0</v>
      </c>
      <c r="B154" s="364">
        <f>'High Risk Non-Compliant'!C109</f>
        <v>0</v>
      </c>
      <c r="C154" s="364"/>
      <c r="D154" s="65" t="e">
        <f>IF(VLOOKUP(A154,'High Risk Non-Compliant'!B:K,$E$49,FALSE)=0,"N/A",VLOOKUP(A154,'High Risk Non-Compliant'!B:K,$E$49,FALSE))</f>
        <v>#REF!</v>
      </c>
      <c r="E154" s="65" t="e">
        <f>IF(D154="N/A","N/A",VLOOKUP(D154,'Crosswalk Detail'!A:B,2,FALSE))</f>
        <v>#REF!</v>
      </c>
    </row>
    <row r="155" spans="1:5" ht="144" customHeight="1">
      <c r="A155" s="66">
        <f>'High Risk Non-Compliant'!B110</f>
        <v>0</v>
      </c>
      <c r="B155" s="364">
        <f>'High Risk Non-Compliant'!C110</f>
        <v>0</v>
      </c>
      <c r="C155" s="364"/>
      <c r="D155" s="65" t="e">
        <f>IF(VLOOKUP(A155,'High Risk Non-Compliant'!B:K,$E$49,FALSE)=0,"N/A",VLOOKUP(A155,'High Risk Non-Compliant'!B:K,$E$49,FALSE))</f>
        <v>#REF!</v>
      </c>
      <c r="E155" s="65" t="e">
        <f>IF(D155="N/A","N/A",VLOOKUP(D155,'Crosswalk Detail'!A:B,2,FALSE))</f>
        <v>#REF!</v>
      </c>
    </row>
    <row r="156" spans="1:5" ht="144" customHeight="1">
      <c r="A156" s="66">
        <f>'High Risk Non-Compliant'!B111</f>
        <v>0</v>
      </c>
      <c r="B156" s="364">
        <f>'High Risk Non-Compliant'!C111</f>
        <v>0</v>
      </c>
      <c r="C156" s="364"/>
      <c r="D156" s="65" t="e">
        <f>IF(VLOOKUP(A156,'High Risk Non-Compliant'!B:K,$E$49,FALSE)=0,"N/A",VLOOKUP(A156,'High Risk Non-Compliant'!B:K,$E$49,FALSE))</f>
        <v>#REF!</v>
      </c>
      <c r="E156" s="65" t="e">
        <f>IF(D156="N/A","N/A",VLOOKUP(D156,'Crosswalk Detail'!A:B,2,FALSE))</f>
        <v>#REF!</v>
      </c>
    </row>
    <row r="157" spans="1:5" ht="144" customHeight="1">
      <c r="A157" s="66">
        <f>'High Risk Non-Compliant'!B112</f>
        <v>0</v>
      </c>
      <c r="B157" s="364">
        <f>'High Risk Non-Compliant'!C112</f>
        <v>0</v>
      </c>
      <c r="C157" s="364"/>
      <c r="D157" s="65" t="e">
        <f>IF(VLOOKUP(A157,'High Risk Non-Compliant'!B:K,$E$49,FALSE)=0,"N/A",VLOOKUP(A157,'High Risk Non-Compliant'!B:K,$E$49,FALSE))</f>
        <v>#REF!</v>
      </c>
      <c r="E157" s="65" t="e">
        <f>IF(D157="N/A","N/A",VLOOKUP(D157,'Crosswalk Detail'!A:B,2,FALSE))</f>
        <v>#REF!</v>
      </c>
    </row>
    <row r="158" spans="1:5" ht="144" customHeight="1">
      <c r="A158" s="66">
        <f>'High Risk Non-Compliant'!B113</f>
        <v>0</v>
      </c>
      <c r="B158" s="364">
        <f>'High Risk Non-Compliant'!C113</f>
        <v>0</v>
      </c>
      <c r="C158" s="364"/>
      <c r="D158" s="65" t="e">
        <f>IF(VLOOKUP(A158,'High Risk Non-Compliant'!B:K,$E$49,FALSE)=0,"N/A",VLOOKUP(A158,'High Risk Non-Compliant'!B:K,$E$49,FALSE))</f>
        <v>#REF!</v>
      </c>
      <c r="E158" s="65" t="e">
        <f>IF(D158="N/A","N/A",VLOOKUP(D158,'Crosswalk Detail'!A:B,2,FALSE))</f>
        <v>#REF!</v>
      </c>
    </row>
    <row r="159" spans="1:5" ht="144" customHeight="1">
      <c r="A159" s="66">
        <f>'High Risk Non-Compliant'!B114</f>
        <v>0</v>
      </c>
      <c r="B159" s="364">
        <f>'High Risk Non-Compliant'!C114</f>
        <v>0</v>
      </c>
      <c r="C159" s="364"/>
      <c r="D159" s="65" t="e">
        <f>IF(VLOOKUP(A159,'High Risk Non-Compliant'!B:K,$E$49,FALSE)=0,"N/A",VLOOKUP(A159,'High Risk Non-Compliant'!B:K,$E$49,FALSE))</f>
        <v>#REF!</v>
      </c>
      <c r="E159" s="65" t="e">
        <f>IF(D159="N/A","N/A",VLOOKUP(D159,'Crosswalk Detail'!A:B,2,FALSE))</f>
        <v>#REF!</v>
      </c>
    </row>
    <row r="160" spans="1:5" ht="144" customHeight="1">
      <c r="A160" s="66">
        <f>'High Risk Non-Compliant'!B115</f>
        <v>0</v>
      </c>
      <c r="B160" s="364">
        <f>'High Risk Non-Compliant'!C115</f>
        <v>0</v>
      </c>
      <c r="C160" s="364"/>
      <c r="D160" s="65" t="e">
        <f>IF(VLOOKUP(A160,'High Risk Non-Compliant'!B:K,$E$49,FALSE)=0,"N/A",VLOOKUP(A160,'High Risk Non-Compliant'!B:K,$E$49,FALSE))</f>
        <v>#REF!</v>
      </c>
      <c r="E160" s="65" t="e">
        <f>IF(D160="N/A","N/A",VLOOKUP(D160,'Crosswalk Detail'!A:B,2,FALSE))</f>
        <v>#REF!</v>
      </c>
    </row>
    <row r="161" spans="1:5" ht="144" customHeight="1">
      <c r="A161" s="66">
        <f>'High Risk Non-Compliant'!B116</f>
        <v>0</v>
      </c>
      <c r="B161" s="364">
        <f>'High Risk Non-Compliant'!C116</f>
        <v>0</v>
      </c>
      <c r="C161" s="364"/>
      <c r="D161" s="65" t="e">
        <f>IF(VLOOKUP(A161,'High Risk Non-Compliant'!B:K,$E$49,FALSE)=0,"N/A",VLOOKUP(A161,'High Risk Non-Compliant'!B:K,$E$49,FALSE))</f>
        <v>#REF!</v>
      </c>
      <c r="E161" s="65" t="e">
        <f>IF(D161="N/A","N/A",VLOOKUP(D161,'Crosswalk Detail'!A:B,2,FALSE))</f>
        <v>#REF!</v>
      </c>
    </row>
    <row r="162" spans="1:5" ht="144" customHeight="1">
      <c r="A162" s="66">
        <f>'High Risk Non-Compliant'!B117</f>
        <v>0</v>
      </c>
      <c r="B162" s="364">
        <f>'High Risk Non-Compliant'!C117</f>
        <v>0</v>
      </c>
      <c r="C162" s="364"/>
      <c r="D162" s="65" t="e">
        <f>IF(VLOOKUP(A162,'High Risk Non-Compliant'!B:K,$E$49,FALSE)=0,"N/A",VLOOKUP(A162,'High Risk Non-Compliant'!B:K,$E$49,FALSE))</f>
        <v>#REF!</v>
      </c>
      <c r="E162" s="65" t="e">
        <f>IF(D162="N/A","N/A",VLOOKUP(D162,'Crosswalk Detail'!A:B,2,FALSE))</f>
        <v>#REF!</v>
      </c>
    </row>
    <row r="163" spans="1:5" ht="144" customHeight="1">
      <c r="A163" s="66">
        <f>'High Risk Non-Compliant'!B118</f>
        <v>0</v>
      </c>
      <c r="B163" s="364">
        <f>'High Risk Non-Compliant'!C118</f>
        <v>0</v>
      </c>
      <c r="C163" s="364"/>
      <c r="D163" s="65" t="e">
        <f>IF(VLOOKUP(A163,'High Risk Non-Compliant'!B:K,$E$49,FALSE)=0,"N/A",VLOOKUP(A163,'High Risk Non-Compliant'!B:K,$E$49,FALSE))</f>
        <v>#REF!</v>
      </c>
      <c r="E163" s="65" t="e">
        <f>IF(D163="N/A","N/A",VLOOKUP(D163,'Crosswalk Detail'!A:B,2,FALSE))</f>
        <v>#REF!</v>
      </c>
    </row>
    <row r="164" spans="1:5" ht="144" customHeight="1">
      <c r="A164" s="66">
        <f>'High Risk Non-Compliant'!B119</f>
        <v>0</v>
      </c>
      <c r="B164" s="364">
        <f>'High Risk Non-Compliant'!C119</f>
        <v>0</v>
      </c>
      <c r="C164" s="364"/>
      <c r="D164" s="65" t="e">
        <f>IF(VLOOKUP(A164,'High Risk Non-Compliant'!B:K,$E$49,FALSE)=0,"N/A",VLOOKUP(A164,'High Risk Non-Compliant'!B:K,$E$49,FALSE))</f>
        <v>#REF!</v>
      </c>
      <c r="E164" s="65" t="e">
        <f>IF(D164="N/A","N/A",VLOOKUP(D164,'Crosswalk Detail'!A:B,2,FALSE))</f>
        <v>#REF!</v>
      </c>
    </row>
    <row r="165" spans="1:5" ht="144" customHeight="1">
      <c r="A165" s="66">
        <f>'High Risk Non-Compliant'!B120</f>
        <v>0</v>
      </c>
      <c r="B165" s="364">
        <f>'High Risk Non-Compliant'!C120</f>
        <v>0</v>
      </c>
      <c r="C165" s="364"/>
      <c r="D165" s="65" t="e">
        <f>IF(VLOOKUP(A165,'High Risk Non-Compliant'!B:K,$E$49,FALSE)=0,"N/A",VLOOKUP(A165,'High Risk Non-Compliant'!B:K,$E$49,FALSE))</f>
        <v>#REF!</v>
      </c>
      <c r="E165" s="65" t="e">
        <f>IF(D165="N/A","N/A",VLOOKUP(D165,'Crosswalk Detail'!A:B,2,FALSE))</f>
        <v>#REF!</v>
      </c>
    </row>
    <row r="166" spans="1:5" ht="144" customHeight="1">
      <c r="A166" s="66">
        <f>'High Risk Non-Compliant'!B121</f>
        <v>0</v>
      </c>
      <c r="B166" s="364">
        <f>'High Risk Non-Compliant'!C121</f>
        <v>0</v>
      </c>
      <c r="C166" s="364"/>
      <c r="D166" s="65" t="e">
        <f>IF(VLOOKUP(A166,'High Risk Non-Compliant'!B:K,$E$49,FALSE)=0,"N/A",VLOOKUP(A166,'High Risk Non-Compliant'!B:K,$E$49,FALSE))</f>
        <v>#REF!</v>
      </c>
      <c r="E166" s="65" t="e">
        <f>IF(D166="N/A","N/A",VLOOKUP(D166,'Crosswalk Detail'!A:B,2,FALSE))</f>
        <v>#REF!</v>
      </c>
    </row>
    <row r="167" spans="1:5" ht="144" customHeight="1">
      <c r="A167" s="66">
        <f>'High Risk Non-Compliant'!B122</f>
        <v>0</v>
      </c>
      <c r="B167" s="364">
        <f>'High Risk Non-Compliant'!C122</f>
        <v>0</v>
      </c>
      <c r="C167" s="364"/>
      <c r="D167" s="65" t="e">
        <f>IF(VLOOKUP(A167,'High Risk Non-Compliant'!B:K,$E$49,FALSE)=0,"N/A",VLOOKUP(A167,'High Risk Non-Compliant'!B:K,$E$49,FALSE))</f>
        <v>#REF!</v>
      </c>
      <c r="E167" s="65" t="e">
        <f>IF(D167="N/A","N/A",VLOOKUP(D167,'Crosswalk Detail'!A:B,2,FALSE))</f>
        <v>#REF!</v>
      </c>
    </row>
    <row r="168" spans="1:5" ht="144" customHeight="1">
      <c r="A168" s="66">
        <f>'High Risk Non-Compliant'!B123</f>
        <v>0</v>
      </c>
      <c r="B168" s="364">
        <f>'High Risk Non-Compliant'!C123</f>
        <v>0</v>
      </c>
      <c r="C168" s="364"/>
      <c r="D168" s="65" t="e">
        <f>IF(VLOOKUP(A168,'High Risk Non-Compliant'!B:K,$E$49,FALSE)=0,"N/A",VLOOKUP(A168,'High Risk Non-Compliant'!B:K,$E$49,FALSE))</f>
        <v>#REF!</v>
      </c>
      <c r="E168" s="65" t="e">
        <f>IF(D168="N/A","N/A",VLOOKUP(D168,'Crosswalk Detail'!A:B,2,FALSE))</f>
        <v>#REF!</v>
      </c>
    </row>
    <row r="169" spans="1:5" ht="144" customHeight="1">
      <c r="A169" s="66">
        <f>'High Risk Non-Compliant'!B124</f>
        <v>0</v>
      </c>
      <c r="B169" s="364">
        <f>'High Risk Non-Compliant'!C124</f>
        <v>0</v>
      </c>
      <c r="C169" s="364"/>
      <c r="D169" s="65" t="e">
        <f>IF(VLOOKUP(A169,'High Risk Non-Compliant'!B:K,$E$49,FALSE)=0,"N/A",VLOOKUP(A169,'High Risk Non-Compliant'!B:K,$E$49,FALSE))</f>
        <v>#REF!</v>
      </c>
      <c r="E169" s="65" t="e">
        <f>IF(D169="N/A","N/A",VLOOKUP(D169,'Crosswalk Detail'!A:B,2,FALSE))</f>
        <v>#REF!</v>
      </c>
    </row>
    <row r="170" spans="1:5" ht="144" customHeight="1">
      <c r="A170" s="66">
        <f>'High Risk Non-Compliant'!B125</f>
        <v>0</v>
      </c>
      <c r="B170" s="364">
        <f>'High Risk Non-Compliant'!C125</f>
        <v>0</v>
      </c>
      <c r="C170" s="364"/>
      <c r="D170" s="65" t="e">
        <f>IF(VLOOKUP(A170,'High Risk Non-Compliant'!B:K,$E$49,FALSE)=0,"N/A",VLOOKUP(A170,'High Risk Non-Compliant'!B:K,$E$49,FALSE))</f>
        <v>#REF!</v>
      </c>
      <c r="E170" s="65" t="e">
        <f>IF(D170="N/A","N/A",VLOOKUP(D170,'Crosswalk Detail'!A:B,2,FALSE))</f>
        <v>#REF!</v>
      </c>
    </row>
    <row r="171" spans="1:5" ht="144" customHeight="1">
      <c r="A171" s="66">
        <f>'High Risk Non-Compliant'!B126</f>
        <v>0</v>
      </c>
      <c r="B171" s="364">
        <f>'High Risk Non-Compliant'!C126</f>
        <v>0</v>
      </c>
      <c r="C171" s="364"/>
      <c r="D171" s="65" t="e">
        <f>IF(VLOOKUP(A171,'High Risk Non-Compliant'!B:K,$E$49,FALSE)=0,"N/A",VLOOKUP(A171,'High Risk Non-Compliant'!B:K,$E$49,FALSE))</f>
        <v>#REF!</v>
      </c>
      <c r="E171" s="65" t="e">
        <f>IF(D171="N/A","N/A",VLOOKUP(D171,'Crosswalk Detail'!A:B,2,FALSE))</f>
        <v>#REF!</v>
      </c>
    </row>
    <row r="172" spans="1:5" ht="144" customHeight="1">
      <c r="A172" s="66">
        <f>'High Risk Non-Compliant'!B127</f>
        <v>0</v>
      </c>
      <c r="B172" s="364">
        <f>'High Risk Non-Compliant'!C127</f>
        <v>0</v>
      </c>
      <c r="C172" s="364"/>
      <c r="D172" s="65" t="e">
        <f>IF(VLOOKUP(A172,'High Risk Non-Compliant'!B:K,$E$49,FALSE)=0,"N/A",VLOOKUP(A172,'High Risk Non-Compliant'!B:K,$E$49,FALSE))</f>
        <v>#REF!</v>
      </c>
      <c r="E172" s="65" t="e">
        <f>IF(D172="N/A","N/A",VLOOKUP(D172,'Crosswalk Detail'!A:B,2,FALSE))</f>
        <v>#REF!</v>
      </c>
    </row>
    <row r="173" spans="1:5" ht="144" customHeight="1">
      <c r="A173" s="66">
        <f>'High Risk Non-Compliant'!B128</f>
        <v>0</v>
      </c>
      <c r="B173" s="364">
        <f>'High Risk Non-Compliant'!C128</f>
        <v>0</v>
      </c>
      <c r="C173" s="364"/>
      <c r="D173" s="65" t="e">
        <f>IF(VLOOKUP(A173,'High Risk Non-Compliant'!B:K,$E$49,FALSE)=0,"N/A",VLOOKUP(A173,'High Risk Non-Compliant'!B:K,$E$49,FALSE))</f>
        <v>#REF!</v>
      </c>
      <c r="E173" s="65" t="e">
        <f>IF(D173="N/A","N/A",VLOOKUP(D173,'Crosswalk Detail'!A:B,2,FALSE))</f>
        <v>#REF!</v>
      </c>
    </row>
    <row r="174" spans="1:5" ht="144" customHeight="1">
      <c r="A174" s="66">
        <f>'High Risk Non-Compliant'!B129</f>
        <v>0</v>
      </c>
      <c r="B174" s="364">
        <f>'High Risk Non-Compliant'!C129</f>
        <v>0</v>
      </c>
      <c r="C174" s="364"/>
      <c r="D174" s="65" t="e">
        <f>IF(VLOOKUP(A174,'High Risk Non-Compliant'!B:K,$E$49,FALSE)=0,"N/A",VLOOKUP(A174,'High Risk Non-Compliant'!B:K,$E$49,FALSE))</f>
        <v>#REF!</v>
      </c>
      <c r="E174" s="65" t="e">
        <f>IF(D174="N/A","N/A",VLOOKUP(D174,'Crosswalk Detail'!A:B,2,FALSE))</f>
        <v>#REF!</v>
      </c>
    </row>
    <row r="175" spans="1:5" ht="144" customHeight="1">
      <c r="A175" s="66">
        <f>'High Risk Non-Compliant'!B130</f>
        <v>0</v>
      </c>
      <c r="B175" s="364">
        <f>'High Risk Non-Compliant'!C130</f>
        <v>0</v>
      </c>
      <c r="C175" s="364"/>
      <c r="D175" s="65" t="e">
        <f>IF(VLOOKUP(A175,'High Risk Non-Compliant'!B:K,$E$49,FALSE)=0,"N/A",VLOOKUP(A175,'High Risk Non-Compliant'!B:K,$E$49,FALSE))</f>
        <v>#REF!</v>
      </c>
      <c r="E175" s="65" t="e">
        <f>IF(D175="N/A","N/A",VLOOKUP(D175,'Crosswalk Detail'!A:B,2,FALSE))</f>
        <v>#REF!</v>
      </c>
    </row>
    <row r="176" spans="1:5" ht="144" customHeight="1">
      <c r="A176" s="66">
        <f>'High Risk Non-Compliant'!B131</f>
        <v>0</v>
      </c>
      <c r="B176" s="364">
        <f>'High Risk Non-Compliant'!C131</f>
        <v>0</v>
      </c>
      <c r="C176" s="364"/>
      <c r="D176" s="65" t="e">
        <f>IF(VLOOKUP(A176,'High Risk Non-Compliant'!B:K,$E$49,FALSE)=0,"N/A",VLOOKUP(A176,'High Risk Non-Compliant'!B:K,$E$49,FALSE))</f>
        <v>#REF!</v>
      </c>
      <c r="E176" s="65" t="e">
        <f>IF(D176="N/A","N/A",VLOOKUP(D176,'Crosswalk Detail'!A:B,2,FALSE))</f>
        <v>#REF!</v>
      </c>
    </row>
    <row r="177" spans="1:5" ht="144" customHeight="1">
      <c r="A177" s="66">
        <f>'High Risk Non-Compliant'!B132</f>
        <v>0</v>
      </c>
      <c r="B177" s="364">
        <f>'High Risk Non-Compliant'!C132</f>
        <v>0</v>
      </c>
      <c r="C177" s="364"/>
      <c r="D177" s="65" t="e">
        <f>IF(VLOOKUP(A177,'High Risk Non-Compliant'!B:K,$E$49,FALSE)=0,"N/A",VLOOKUP(A177,'High Risk Non-Compliant'!B:K,$E$49,FALSE))</f>
        <v>#REF!</v>
      </c>
      <c r="E177" s="65" t="e">
        <f>IF(D177="N/A","N/A",VLOOKUP(D177,'Crosswalk Detail'!A:B,2,FALSE))</f>
        <v>#REF!</v>
      </c>
    </row>
    <row r="178" spans="1:5" ht="144" customHeight="1">
      <c r="A178" s="66">
        <f>'High Risk Non-Compliant'!B133</f>
        <v>0</v>
      </c>
      <c r="B178" s="364">
        <f>'High Risk Non-Compliant'!C133</f>
        <v>0</v>
      </c>
      <c r="C178" s="364"/>
      <c r="D178" s="65" t="e">
        <f>IF(VLOOKUP(A178,'High Risk Non-Compliant'!B:K,$E$49,FALSE)=0,"N/A",VLOOKUP(A178,'High Risk Non-Compliant'!B:K,$E$49,FALSE))</f>
        <v>#REF!</v>
      </c>
      <c r="E178" s="65" t="e">
        <f>IF(D178="N/A","N/A",VLOOKUP(D178,'Crosswalk Detail'!A:B,2,FALSE))</f>
        <v>#REF!</v>
      </c>
    </row>
    <row r="179" spans="1:5" ht="144" customHeight="1">
      <c r="A179" s="66">
        <f>'High Risk Non-Compliant'!B134</f>
        <v>0</v>
      </c>
      <c r="B179" s="364">
        <f>'High Risk Non-Compliant'!C134</f>
        <v>0</v>
      </c>
      <c r="C179" s="364"/>
      <c r="D179" s="65" t="e">
        <f>IF(VLOOKUP(A179,'High Risk Non-Compliant'!B:K,$E$49,FALSE)=0,"N/A",VLOOKUP(A179,'High Risk Non-Compliant'!B:K,$E$49,FALSE))</f>
        <v>#REF!</v>
      </c>
      <c r="E179" s="65" t="e">
        <f>IF(D179="N/A","N/A",VLOOKUP(D179,'Crosswalk Detail'!A:B,2,FALSE))</f>
        <v>#REF!</v>
      </c>
    </row>
    <row r="180" spans="1:5" ht="144" customHeight="1">
      <c r="A180" s="66">
        <f>'High Risk Non-Compliant'!B135</f>
        <v>0</v>
      </c>
      <c r="B180" s="364">
        <f>'High Risk Non-Compliant'!C135</f>
        <v>0</v>
      </c>
      <c r="C180" s="364"/>
      <c r="D180" s="65" t="e">
        <f>IF(VLOOKUP(A180,'High Risk Non-Compliant'!B:K,$E$49,FALSE)=0,"N/A",VLOOKUP(A180,'High Risk Non-Compliant'!B:K,$E$49,FALSE))</f>
        <v>#REF!</v>
      </c>
      <c r="E180" s="65" t="e">
        <f>IF(D180="N/A","N/A",VLOOKUP(D180,'Crosswalk Detail'!A:B,2,FALSE))</f>
        <v>#REF!</v>
      </c>
    </row>
    <row r="181" spans="1:5" ht="144" customHeight="1">
      <c r="A181" s="66">
        <f>'High Risk Non-Compliant'!B136</f>
        <v>0</v>
      </c>
      <c r="B181" s="364">
        <f>'High Risk Non-Compliant'!C136</f>
        <v>0</v>
      </c>
      <c r="C181" s="364"/>
      <c r="D181" s="65" t="e">
        <f>IF(VLOOKUP(A181,'High Risk Non-Compliant'!B:K,$E$49,FALSE)=0,"N/A",VLOOKUP(A181,'High Risk Non-Compliant'!B:K,$E$49,FALSE))</f>
        <v>#REF!</v>
      </c>
      <c r="E181" s="65" t="e">
        <f>IF(D181="N/A","N/A",VLOOKUP(D181,'Crosswalk Detail'!A:B,2,FALSE))</f>
        <v>#REF!</v>
      </c>
    </row>
    <row r="182" spans="1:5" ht="144" customHeight="1">
      <c r="A182" s="66">
        <f>'High Risk Non-Compliant'!B137</f>
        <v>0</v>
      </c>
      <c r="B182" s="364">
        <f>'High Risk Non-Compliant'!C137</f>
        <v>0</v>
      </c>
      <c r="C182" s="364"/>
      <c r="D182" s="65" t="e">
        <f>IF(VLOOKUP(A182,'High Risk Non-Compliant'!B:K,$E$49,FALSE)=0,"N/A",VLOOKUP(A182,'High Risk Non-Compliant'!B:K,$E$49,FALSE))</f>
        <v>#REF!</v>
      </c>
      <c r="E182" s="65" t="e">
        <f>IF(D182="N/A","N/A",VLOOKUP(D182,'Crosswalk Detail'!A:B,2,FALSE))</f>
        <v>#REF!</v>
      </c>
    </row>
    <row r="183" spans="1:5" ht="144" customHeight="1">
      <c r="A183" s="66">
        <f>'High Risk Non-Compliant'!B138</f>
        <v>0</v>
      </c>
      <c r="B183" s="364">
        <f>'High Risk Non-Compliant'!C138</f>
        <v>0</v>
      </c>
      <c r="C183" s="364"/>
      <c r="D183" s="65" t="e">
        <f>IF(VLOOKUP(A183,'High Risk Non-Compliant'!B:K,$E$49,FALSE)=0,"N/A",VLOOKUP(A183,'High Risk Non-Compliant'!B:K,$E$49,FALSE))</f>
        <v>#REF!</v>
      </c>
      <c r="E183" s="65" t="e">
        <f>IF(D183="N/A","N/A",VLOOKUP(D183,'Crosswalk Detail'!A:B,2,FALSE))</f>
        <v>#REF!</v>
      </c>
    </row>
    <row r="184" spans="1:5" ht="144" customHeight="1">
      <c r="A184" s="66">
        <f>'High Risk Non-Compliant'!B139</f>
        <v>0</v>
      </c>
      <c r="B184" s="364">
        <f>'High Risk Non-Compliant'!C139</f>
        <v>0</v>
      </c>
      <c r="C184" s="364"/>
      <c r="D184" s="65" t="e">
        <f>IF(VLOOKUP(A184,'High Risk Non-Compliant'!B:K,$E$49,FALSE)=0,"N/A",VLOOKUP(A184,'High Risk Non-Compliant'!B:K,$E$49,FALSE))</f>
        <v>#REF!</v>
      </c>
      <c r="E184" s="65" t="e">
        <f>IF(D184="N/A","N/A",VLOOKUP(D184,'Crosswalk Detail'!A:B,2,FALSE))</f>
        <v>#REF!</v>
      </c>
    </row>
    <row r="185" spans="1:5" ht="144" customHeight="1">
      <c r="A185" s="66">
        <f>'High Risk Non-Compliant'!B140</f>
        <v>0</v>
      </c>
      <c r="B185" s="364">
        <f>'High Risk Non-Compliant'!C140</f>
        <v>0</v>
      </c>
      <c r="C185" s="364"/>
      <c r="D185" s="65" t="e">
        <f>IF(VLOOKUP(A185,'High Risk Non-Compliant'!B:K,$E$49,FALSE)=0,"N/A",VLOOKUP(A185,'High Risk Non-Compliant'!B:K,$E$49,FALSE))</f>
        <v>#REF!</v>
      </c>
      <c r="E185" s="65" t="e">
        <f>IF(D185="N/A","N/A",VLOOKUP(D185,'Crosswalk Detail'!A:B,2,FALSE))</f>
        <v>#REF!</v>
      </c>
    </row>
    <row r="186" spans="1:5" ht="144" customHeight="1">
      <c r="A186" s="66">
        <f>'High Risk Non-Compliant'!B141</f>
        <v>0</v>
      </c>
      <c r="B186" s="364">
        <f>'High Risk Non-Compliant'!C141</f>
        <v>0</v>
      </c>
      <c r="C186" s="364"/>
      <c r="D186" s="65" t="e">
        <f>IF(VLOOKUP(A186,'High Risk Non-Compliant'!B:K,$E$49,FALSE)=0,"N/A",VLOOKUP(A186,'High Risk Non-Compliant'!B:K,$E$49,FALSE))</f>
        <v>#REF!</v>
      </c>
      <c r="E186" s="65" t="e">
        <f>IF(D186="N/A","N/A",VLOOKUP(D186,'Crosswalk Detail'!A:B,2,FALSE))</f>
        <v>#REF!</v>
      </c>
    </row>
    <row r="187" spans="1:5" ht="144" customHeight="1">
      <c r="A187" s="66">
        <f>'High Risk Non-Compliant'!B142</f>
        <v>0</v>
      </c>
      <c r="B187" s="364">
        <f>'High Risk Non-Compliant'!C142</f>
        <v>0</v>
      </c>
      <c r="C187" s="364"/>
      <c r="D187" s="65" t="e">
        <f>IF(VLOOKUP(A187,'High Risk Non-Compliant'!B:K,$E$49,FALSE)=0,"N/A",VLOOKUP(A187,'High Risk Non-Compliant'!B:K,$E$49,FALSE))</f>
        <v>#REF!</v>
      </c>
      <c r="E187" s="65" t="e">
        <f>IF(D187="N/A","N/A",VLOOKUP(D187,'Crosswalk Detail'!A:B,2,FALSE))</f>
        <v>#REF!</v>
      </c>
    </row>
    <row r="188" spans="1:5" ht="144" customHeight="1">
      <c r="A188" s="66">
        <f>'High Risk Non-Compliant'!B143</f>
        <v>0</v>
      </c>
      <c r="B188" s="364">
        <f>'High Risk Non-Compliant'!C143</f>
        <v>0</v>
      </c>
      <c r="C188" s="364"/>
      <c r="D188" s="65" t="e">
        <f>IF(VLOOKUP(A188,'High Risk Non-Compliant'!B:K,$E$49,FALSE)=0,"N/A",VLOOKUP(A188,'High Risk Non-Compliant'!B:K,$E$49,FALSE))</f>
        <v>#REF!</v>
      </c>
      <c r="E188" s="65" t="e">
        <f>IF(D188="N/A","N/A",VLOOKUP(D188,'Crosswalk Detail'!A:B,2,FALSE))</f>
        <v>#REF!</v>
      </c>
    </row>
    <row r="189" spans="1:5" ht="144" customHeight="1">
      <c r="A189" s="66">
        <f>'High Risk Non-Compliant'!B144</f>
        <v>0</v>
      </c>
      <c r="B189" s="364">
        <f>'High Risk Non-Compliant'!C144</f>
        <v>0</v>
      </c>
      <c r="C189" s="364"/>
      <c r="D189" s="65" t="e">
        <f>IF(VLOOKUP(A189,'High Risk Non-Compliant'!B:K,$E$49,FALSE)=0,"N/A",VLOOKUP(A189,'High Risk Non-Compliant'!B:K,$E$49,FALSE))</f>
        <v>#REF!</v>
      </c>
      <c r="E189" s="65" t="e">
        <f>IF(D189="N/A","N/A",VLOOKUP(D189,'Crosswalk Detail'!A:B,2,FALSE))</f>
        <v>#REF!</v>
      </c>
    </row>
    <row r="190" spans="1:5" ht="144" customHeight="1">
      <c r="A190" s="66">
        <f>'High Risk Non-Compliant'!B145</f>
        <v>0</v>
      </c>
      <c r="B190" s="364">
        <f>'High Risk Non-Compliant'!C145</f>
        <v>0</v>
      </c>
      <c r="C190" s="364"/>
      <c r="D190" s="65" t="e">
        <f>IF(VLOOKUP(A190,'High Risk Non-Compliant'!B:K,$E$49,FALSE)=0,"N/A",VLOOKUP(A190,'High Risk Non-Compliant'!B:K,$E$49,FALSE))</f>
        <v>#REF!</v>
      </c>
      <c r="E190" s="65" t="e">
        <f>IF(D190="N/A","N/A",VLOOKUP(D190,'Crosswalk Detail'!A:B,2,FALSE))</f>
        <v>#REF!</v>
      </c>
    </row>
    <row r="191" spans="1:5" ht="144" customHeight="1">
      <c r="A191" s="66">
        <f>'High Risk Non-Compliant'!B146</f>
        <v>0</v>
      </c>
      <c r="B191" s="364">
        <f>'High Risk Non-Compliant'!C146</f>
        <v>0</v>
      </c>
      <c r="C191" s="364"/>
      <c r="D191" s="65" t="e">
        <f>IF(VLOOKUP(A191,'High Risk Non-Compliant'!B:K,$E$49,FALSE)=0,"N/A",VLOOKUP(A191,'High Risk Non-Compliant'!B:K,$E$49,FALSE))</f>
        <v>#REF!</v>
      </c>
      <c r="E191" s="65" t="e">
        <f>IF(D191="N/A","N/A",VLOOKUP(D191,'Crosswalk Detail'!A:B,2,FALSE))</f>
        <v>#REF!</v>
      </c>
    </row>
    <row r="192" spans="1:5" ht="144" customHeight="1">
      <c r="A192" s="66">
        <f>'High Risk Non-Compliant'!B147</f>
        <v>0</v>
      </c>
      <c r="B192" s="364">
        <f>'High Risk Non-Compliant'!C147</f>
        <v>0</v>
      </c>
      <c r="C192" s="364"/>
      <c r="D192" s="65" t="e">
        <f>IF(VLOOKUP(A192,'High Risk Non-Compliant'!B:K,$E$49,FALSE)=0,"N/A",VLOOKUP(A192,'High Risk Non-Compliant'!B:K,$E$49,FALSE))</f>
        <v>#REF!</v>
      </c>
      <c r="E192" s="65" t="e">
        <f>IF(D192="N/A","N/A",VLOOKUP(D192,'Crosswalk Detail'!A:B,2,FALSE))</f>
        <v>#REF!</v>
      </c>
    </row>
    <row r="193" spans="1:5" ht="144" customHeight="1">
      <c r="A193" s="66">
        <f>'High Risk Non-Compliant'!B148</f>
        <v>0</v>
      </c>
      <c r="B193" s="364">
        <f>'High Risk Non-Compliant'!C148</f>
        <v>0</v>
      </c>
      <c r="C193" s="364"/>
      <c r="D193" s="65" t="e">
        <f>IF(VLOOKUP(A193,'High Risk Non-Compliant'!B:K,$E$49,FALSE)=0,"N/A",VLOOKUP(A193,'High Risk Non-Compliant'!B:K,$E$49,FALSE))</f>
        <v>#REF!</v>
      </c>
      <c r="E193" s="65" t="e">
        <f>IF(D193="N/A","N/A",VLOOKUP(D193,'Crosswalk Detail'!A:B,2,FALSE))</f>
        <v>#REF!</v>
      </c>
    </row>
    <row r="194" spans="1:5" ht="144" customHeight="1">
      <c r="A194" s="66">
        <f>'High Risk Non-Compliant'!B149</f>
        <v>0</v>
      </c>
      <c r="B194" s="364">
        <f>'High Risk Non-Compliant'!C149</f>
        <v>0</v>
      </c>
      <c r="C194" s="364"/>
      <c r="D194" s="65" t="e">
        <f>IF(VLOOKUP(A194,'High Risk Non-Compliant'!B:K,$E$49,FALSE)=0,"N/A",VLOOKUP(A194,'High Risk Non-Compliant'!B:K,$E$49,FALSE))</f>
        <v>#REF!</v>
      </c>
      <c r="E194" s="65" t="e">
        <f>IF(D194="N/A","N/A",VLOOKUP(D194,'Crosswalk Detail'!A:B,2,FALSE))</f>
        <v>#REF!</v>
      </c>
    </row>
    <row r="195" spans="1:5" ht="144" customHeight="1">
      <c r="A195" s="66">
        <f>'High Risk Non-Compliant'!B150</f>
        <v>0</v>
      </c>
      <c r="B195" s="364">
        <f>'High Risk Non-Compliant'!C150</f>
        <v>0</v>
      </c>
      <c r="C195" s="364"/>
      <c r="D195" s="65" t="e">
        <f>IF(VLOOKUP(A195,'High Risk Non-Compliant'!B:K,$E$49,FALSE)=0,"N/A",VLOOKUP(A195,'High Risk Non-Compliant'!B:K,$E$49,FALSE))</f>
        <v>#REF!</v>
      </c>
      <c r="E195" s="65" t="e">
        <f>IF(D195="N/A","N/A",VLOOKUP(D195,'Crosswalk Detail'!A:B,2,FALSE))</f>
        <v>#REF!</v>
      </c>
    </row>
    <row r="196" spans="1:5" ht="144" customHeight="1">
      <c r="A196" s="66">
        <f>'High Risk Non-Compliant'!B151</f>
        <v>0</v>
      </c>
      <c r="B196" s="364">
        <f>'High Risk Non-Compliant'!C151</f>
        <v>0</v>
      </c>
      <c r="C196" s="364"/>
      <c r="D196" s="65" t="e">
        <f>IF(VLOOKUP(A196,'High Risk Non-Compliant'!B:K,$E$49,FALSE)=0,"N/A",VLOOKUP(A196,'High Risk Non-Compliant'!B:K,$E$49,FALSE))</f>
        <v>#REF!</v>
      </c>
      <c r="E196" s="65" t="e">
        <f>IF(D196="N/A","N/A",VLOOKUP(D196,'Crosswalk Detail'!A:B,2,FALSE))</f>
        <v>#REF!</v>
      </c>
    </row>
    <row r="197" spans="1:5" ht="144" customHeight="1">
      <c r="A197" s="66">
        <f>'High Risk Non-Compliant'!B152</f>
        <v>0</v>
      </c>
      <c r="B197" s="364">
        <f>'High Risk Non-Compliant'!C152</f>
        <v>0</v>
      </c>
      <c r="C197" s="364"/>
      <c r="D197" s="65" t="e">
        <f>IF(VLOOKUP(A197,'High Risk Non-Compliant'!B:K,$E$49,FALSE)=0,"N/A",VLOOKUP(A197,'High Risk Non-Compliant'!B:K,$E$49,FALSE))</f>
        <v>#REF!</v>
      </c>
      <c r="E197" s="65" t="e">
        <f>IF(D197="N/A","N/A",VLOOKUP(D197,'Crosswalk Detail'!A:B,2,FALSE))</f>
        <v>#REF!</v>
      </c>
    </row>
    <row r="198" spans="1:5" ht="144" customHeight="1">
      <c r="A198" s="66">
        <f>'High Risk Non-Compliant'!B153</f>
        <v>0</v>
      </c>
      <c r="B198" s="364">
        <f>'High Risk Non-Compliant'!C153</f>
        <v>0</v>
      </c>
      <c r="C198" s="364"/>
      <c r="D198" s="65" t="e">
        <f>IF(VLOOKUP(A198,'High Risk Non-Compliant'!B:K,$E$49,FALSE)=0,"N/A",VLOOKUP(A198,'High Risk Non-Compliant'!B:K,$E$49,FALSE))</f>
        <v>#REF!</v>
      </c>
      <c r="E198" s="65" t="e">
        <f>IF(D198="N/A","N/A",VLOOKUP(D198,'Crosswalk Detail'!A:B,2,FALSE))</f>
        <v>#REF!</v>
      </c>
    </row>
    <row r="199" spans="1:5" ht="144" customHeight="1">
      <c r="A199" s="66">
        <f>'High Risk Non-Compliant'!B154</f>
        <v>0</v>
      </c>
      <c r="B199" s="364">
        <f>'High Risk Non-Compliant'!C154</f>
        <v>0</v>
      </c>
      <c r="C199" s="364"/>
      <c r="D199" s="65" t="e">
        <f>IF(VLOOKUP(A199,'High Risk Non-Compliant'!B:K,$E$49,FALSE)=0,"N/A",VLOOKUP(A199,'High Risk Non-Compliant'!B:K,$E$49,FALSE))</f>
        <v>#REF!</v>
      </c>
      <c r="E199" s="65" t="e">
        <f>IF(D199="N/A","N/A",VLOOKUP(D199,'Crosswalk Detail'!A:B,2,FALSE))</f>
        <v>#REF!</v>
      </c>
    </row>
    <row r="200" spans="1:5" ht="144" customHeight="1">
      <c r="A200" s="66">
        <f>'High Risk Non-Compliant'!B155</f>
        <v>0</v>
      </c>
      <c r="B200" s="364">
        <f>'High Risk Non-Compliant'!C155</f>
        <v>0</v>
      </c>
      <c r="C200" s="364"/>
      <c r="D200" s="65" t="e">
        <f>IF(VLOOKUP(A200,'High Risk Non-Compliant'!B:K,$E$49,FALSE)=0,"N/A",VLOOKUP(A200,'High Risk Non-Compliant'!B:K,$E$49,FALSE))</f>
        <v>#REF!</v>
      </c>
      <c r="E200" s="65" t="e">
        <f>IF(D200="N/A","N/A",VLOOKUP(D200,'Crosswalk Detail'!A:B,2,FALSE))</f>
        <v>#REF!</v>
      </c>
    </row>
    <row r="201" spans="1:5" ht="144" customHeight="1">
      <c r="A201" s="66">
        <f>'High Risk Non-Compliant'!B156</f>
        <v>0</v>
      </c>
      <c r="B201" s="364">
        <f>'High Risk Non-Compliant'!C156</f>
        <v>0</v>
      </c>
      <c r="C201" s="364"/>
      <c r="D201" s="65" t="e">
        <f>IF(VLOOKUP(A201,'High Risk Non-Compliant'!B:K,$E$49,FALSE)=0,"N/A",VLOOKUP(A201,'High Risk Non-Compliant'!B:K,$E$49,FALSE))</f>
        <v>#REF!</v>
      </c>
      <c r="E201" s="65" t="e">
        <f>IF(D201="N/A","N/A",VLOOKUP(D201,'Crosswalk Detail'!A:B,2,FALSE))</f>
        <v>#REF!</v>
      </c>
    </row>
    <row r="202" spans="1:5" ht="144" customHeight="1">
      <c r="A202" s="66">
        <f>'High Risk Non-Compliant'!B157</f>
        <v>0</v>
      </c>
      <c r="B202" s="364">
        <f>'High Risk Non-Compliant'!C157</f>
        <v>0</v>
      </c>
      <c r="C202" s="364"/>
      <c r="D202" s="65" t="e">
        <f>IF(VLOOKUP(A202,'High Risk Non-Compliant'!B:K,$E$49,FALSE)=0,"N/A",VLOOKUP(A202,'High Risk Non-Compliant'!B:K,$E$49,FALSE))</f>
        <v>#REF!</v>
      </c>
      <c r="E202" s="65" t="e">
        <f>IF(D202="N/A","N/A",VLOOKUP(D202,'Crosswalk Detail'!A:B,2,FALSE))</f>
        <v>#REF!</v>
      </c>
    </row>
    <row r="203" spans="1:5" ht="144" customHeight="1">
      <c r="A203" s="66">
        <f>'High Risk Non-Compliant'!B158</f>
        <v>0</v>
      </c>
      <c r="B203" s="364">
        <f>'High Risk Non-Compliant'!C158</f>
        <v>0</v>
      </c>
      <c r="C203" s="364"/>
      <c r="D203" s="65" t="e">
        <f>IF(VLOOKUP(A203,'High Risk Non-Compliant'!B:K,$E$49,FALSE)=0,"N/A",VLOOKUP(A203,'High Risk Non-Compliant'!B:K,$E$49,FALSE))</f>
        <v>#REF!</v>
      </c>
      <c r="E203" s="65" t="e">
        <f>IF(D203="N/A","N/A",VLOOKUP(D203,'Crosswalk Detail'!A:B,2,FALSE))</f>
        <v>#REF!</v>
      </c>
    </row>
    <row r="204" spans="1:5" ht="144" customHeight="1">
      <c r="A204" s="66">
        <f>'High Risk Non-Compliant'!B159</f>
        <v>0</v>
      </c>
      <c r="B204" s="364">
        <f>'High Risk Non-Compliant'!C159</f>
        <v>0</v>
      </c>
      <c r="C204" s="364"/>
      <c r="D204" s="65" t="e">
        <f>IF(VLOOKUP(A204,'High Risk Non-Compliant'!B:K,$E$49,FALSE)=0,"N/A",VLOOKUP(A204,'High Risk Non-Compliant'!B:K,$E$49,FALSE))</f>
        <v>#REF!</v>
      </c>
      <c r="E204" s="65" t="e">
        <f>IF(D204="N/A","N/A",VLOOKUP(D204,'Crosswalk Detail'!A:B,2,FALSE))</f>
        <v>#REF!</v>
      </c>
    </row>
    <row r="205" spans="1:5" ht="144" customHeight="1">
      <c r="A205" s="66">
        <f>'High Risk Non-Compliant'!B160</f>
        <v>0</v>
      </c>
      <c r="B205" s="364">
        <f>'High Risk Non-Compliant'!C160</f>
        <v>0</v>
      </c>
      <c r="C205" s="364"/>
      <c r="D205" s="65" t="e">
        <f>IF(VLOOKUP(A205,'High Risk Non-Compliant'!B:K,$E$49,FALSE)=0,"N/A",VLOOKUP(A205,'High Risk Non-Compliant'!B:K,$E$49,FALSE))</f>
        <v>#REF!</v>
      </c>
      <c r="E205" s="65" t="e">
        <f>IF(D205="N/A","N/A",VLOOKUP(D205,'Crosswalk Detail'!A:B,2,FALSE))</f>
        <v>#REF!</v>
      </c>
    </row>
    <row r="206" spans="1:5" ht="144" customHeight="1">
      <c r="A206" s="66">
        <f>'High Risk Non-Compliant'!B161</f>
        <v>0</v>
      </c>
      <c r="B206" s="364">
        <f>'High Risk Non-Compliant'!C161</f>
        <v>0</v>
      </c>
      <c r="C206" s="364"/>
      <c r="D206" s="65" t="e">
        <f>IF(VLOOKUP(A206,'High Risk Non-Compliant'!B:K,$E$49,FALSE)=0,"N/A",VLOOKUP(A206,'High Risk Non-Compliant'!B:K,$E$49,FALSE))</f>
        <v>#REF!</v>
      </c>
      <c r="E206" s="65" t="e">
        <f>IF(D206="N/A","N/A",VLOOKUP(D206,'Crosswalk Detail'!A:B,2,FALSE))</f>
        <v>#REF!</v>
      </c>
    </row>
    <row r="207" spans="1:5" ht="144" customHeight="1">
      <c r="A207" s="66">
        <f>'High Risk Non-Compliant'!B162</f>
        <v>0</v>
      </c>
      <c r="B207" s="364">
        <f>'High Risk Non-Compliant'!C162</f>
        <v>0</v>
      </c>
      <c r="C207" s="364"/>
      <c r="D207" s="65" t="e">
        <f>IF(VLOOKUP(A207,'High Risk Non-Compliant'!B:K,$E$49,FALSE)=0,"N/A",VLOOKUP(A207,'High Risk Non-Compliant'!B:K,$E$49,FALSE))</f>
        <v>#REF!</v>
      </c>
      <c r="E207" s="65" t="e">
        <f>IF(D207="N/A","N/A",VLOOKUP(D207,'Crosswalk Detail'!A:B,2,FALSE))</f>
        <v>#REF!</v>
      </c>
    </row>
    <row r="208" spans="1:5" ht="144" customHeight="1">
      <c r="A208" s="66">
        <f>'High Risk Non-Compliant'!B163</f>
        <v>0</v>
      </c>
      <c r="B208" s="364">
        <f>'High Risk Non-Compliant'!C163</f>
        <v>0</v>
      </c>
      <c r="C208" s="364"/>
      <c r="D208" s="65" t="e">
        <f>IF(VLOOKUP(A208,'High Risk Non-Compliant'!B:K,$E$49,FALSE)=0,"N/A",VLOOKUP(A208,'High Risk Non-Compliant'!B:K,$E$49,FALSE))</f>
        <v>#REF!</v>
      </c>
      <c r="E208" s="65" t="e">
        <f>IF(D208="N/A","N/A",VLOOKUP(D208,'Crosswalk Detail'!A:B,2,FALSE))</f>
        <v>#REF!</v>
      </c>
    </row>
    <row r="209" spans="1:5" ht="144" customHeight="1">
      <c r="A209" s="66">
        <f>'High Risk Non-Compliant'!B164</f>
        <v>0</v>
      </c>
      <c r="B209" s="364">
        <f>'High Risk Non-Compliant'!C164</f>
        <v>0</v>
      </c>
      <c r="C209" s="364"/>
      <c r="D209" s="65" t="e">
        <f>IF(VLOOKUP(A209,'High Risk Non-Compliant'!B:K,$E$49,FALSE)=0,"N/A",VLOOKUP(A209,'High Risk Non-Compliant'!B:K,$E$49,FALSE))</f>
        <v>#REF!</v>
      </c>
      <c r="E209" s="65" t="e">
        <f>IF(D209="N/A","N/A",VLOOKUP(D209,'Crosswalk Detail'!A:B,2,FALSE))</f>
        <v>#REF!</v>
      </c>
    </row>
    <row r="210" spans="1:5" ht="144" customHeight="1">
      <c r="A210" s="66">
        <f>'High Risk Non-Compliant'!B165</f>
        <v>0</v>
      </c>
      <c r="B210" s="364">
        <f>'High Risk Non-Compliant'!C165</f>
        <v>0</v>
      </c>
      <c r="C210" s="364"/>
      <c r="D210" s="65" t="e">
        <f>IF(VLOOKUP(A210,'High Risk Non-Compliant'!B:K,$E$49,FALSE)=0,"N/A",VLOOKUP(A210,'High Risk Non-Compliant'!B:K,$E$49,FALSE))</f>
        <v>#REF!</v>
      </c>
      <c r="E210" s="65" t="e">
        <f>IF(D210="N/A","N/A",VLOOKUP(D210,'Crosswalk Detail'!A:B,2,FALSE))</f>
        <v>#REF!</v>
      </c>
    </row>
    <row r="211" spans="1:5" ht="144" customHeight="1">
      <c r="A211" s="66">
        <f>'High Risk Non-Compliant'!B166</f>
        <v>0</v>
      </c>
      <c r="B211" s="364">
        <f>'High Risk Non-Compliant'!C166</f>
        <v>0</v>
      </c>
      <c r="C211" s="364"/>
      <c r="D211" s="65" t="e">
        <f>IF(VLOOKUP(A211,'High Risk Non-Compliant'!B:K,$E$49,FALSE)=0,"N/A",VLOOKUP(A211,'High Risk Non-Compliant'!B:K,$E$49,FALSE))</f>
        <v>#REF!</v>
      </c>
      <c r="E211" s="65" t="e">
        <f>IF(D211="N/A","N/A",VLOOKUP(D211,'Crosswalk Detail'!A:B,2,FALSE))</f>
        <v>#REF!</v>
      </c>
    </row>
    <row r="212" spans="1:5" ht="144" customHeight="1">
      <c r="A212" s="66">
        <f>'High Risk Non-Compliant'!B167</f>
        <v>0</v>
      </c>
      <c r="B212" s="364">
        <f>'High Risk Non-Compliant'!C167</f>
        <v>0</v>
      </c>
      <c r="C212" s="364"/>
      <c r="D212" s="65" t="e">
        <f>IF(VLOOKUP(A212,'High Risk Non-Compliant'!B:K,$E$49,FALSE)=0,"N/A",VLOOKUP(A212,'High Risk Non-Compliant'!B:K,$E$49,FALSE))</f>
        <v>#REF!</v>
      </c>
      <c r="E212" s="65" t="e">
        <f>IF(D212="N/A","N/A",VLOOKUP(D212,'Crosswalk Detail'!A:B,2,FALSE))</f>
        <v>#REF!</v>
      </c>
    </row>
    <row r="213" spans="1:5" ht="144" customHeight="1">
      <c r="A213" s="66">
        <f>'High Risk Non-Compliant'!B168</f>
        <v>0</v>
      </c>
      <c r="B213" s="364">
        <f>'High Risk Non-Compliant'!C168</f>
        <v>0</v>
      </c>
      <c r="C213" s="364"/>
      <c r="D213" s="65" t="e">
        <f>IF(VLOOKUP(A213,'High Risk Non-Compliant'!B:K,$E$49,FALSE)=0,"N/A",VLOOKUP(A213,'High Risk Non-Compliant'!B:K,$E$49,FALSE))</f>
        <v>#REF!</v>
      </c>
      <c r="E213" s="65" t="e">
        <f>IF(D213="N/A","N/A",VLOOKUP(D213,'Crosswalk Detail'!A:B,2,FALSE))</f>
        <v>#REF!</v>
      </c>
    </row>
    <row r="214" spans="1:5" ht="144" customHeight="1">
      <c r="A214" s="66">
        <f>'High Risk Non-Compliant'!B169</f>
        <v>0</v>
      </c>
      <c r="B214" s="364">
        <f>'High Risk Non-Compliant'!C169</f>
        <v>0</v>
      </c>
      <c r="C214" s="364"/>
      <c r="D214" s="65" t="e">
        <f>IF(VLOOKUP(A214,'High Risk Non-Compliant'!B:K,$E$49,FALSE)=0,"N/A",VLOOKUP(A214,'High Risk Non-Compliant'!B:K,$E$49,FALSE))</f>
        <v>#REF!</v>
      </c>
      <c r="E214" s="65" t="e">
        <f>IF(D214="N/A","N/A",VLOOKUP(D214,'Crosswalk Detail'!A:B,2,FALSE))</f>
        <v>#REF!</v>
      </c>
    </row>
    <row r="215" spans="1:5" ht="144" customHeight="1">
      <c r="A215" s="66">
        <f>'High Risk Non-Compliant'!B170</f>
        <v>0</v>
      </c>
      <c r="B215" s="364">
        <f>'High Risk Non-Compliant'!C170</f>
        <v>0</v>
      </c>
      <c r="C215" s="364"/>
      <c r="D215" s="65" t="e">
        <f>IF(VLOOKUP(A215,'High Risk Non-Compliant'!B:K,$E$49,FALSE)=0,"N/A",VLOOKUP(A215,'High Risk Non-Compliant'!B:K,$E$49,FALSE))</f>
        <v>#REF!</v>
      </c>
      <c r="E215" s="65" t="e">
        <f>IF(D215="N/A","N/A",VLOOKUP(D215,'Crosswalk Detail'!A:B,2,FALSE))</f>
        <v>#REF!</v>
      </c>
    </row>
    <row r="216" spans="1:5" ht="144" customHeight="1">
      <c r="A216" s="66">
        <f>'High Risk Non-Compliant'!B171</f>
        <v>0</v>
      </c>
      <c r="B216" s="364">
        <f>'High Risk Non-Compliant'!C171</f>
        <v>0</v>
      </c>
      <c r="C216" s="364"/>
      <c r="D216" s="65" t="e">
        <f>IF(VLOOKUP(A216,'High Risk Non-Compliant'!B:K,$E$49,FALSE)=0,"N/A",VLOOKUP(A216,'High Risk Non-Compliant'!B:K,$E$49,FALSE))</f>
        <v>#REF!</v>
      </c>
      <c r="E216" s="65" t="e">
        <f>IF(D216="N/A","N/A",VLOOKUP(D216,'Crosswalk Detail'!A:B,2,FALSE))</f>
        <v>#REF!</v>
      </c>
    </row>
    <row r="217" spans="1:5" ht="144" customHeight="1">
      <c r="A217" s="66">
        <f>'High Risk Non-Compliant'!B172</f>
        <v>0</v>
      </c>
      <c r="B217" s="364">
        <f>'High Risk Non-Compliant'!C172</f>
        <v>0</v>
      </c>
      <c r="C217" s="364"/>
      <c r="D217" s="65" t="e">
        <f>IF(VLOOKUP(A217,'High Risk Non-Compliant'!B:K,$E$49,FALSE)=0,"N/A",VLOOKUP(A217,'High Risk Non-Compliant'!B:K,$E$49,FALSE))</f>
        <v>#REF!</v>
      </c>
      <c r="E217" s="65" t="e">
        <f>IF(D217="N/A","N/A",VLOOKUP(D217,'Crosswalk Detail'!A:B,2,FALSE))</f>
        <v>#REF!</v>
      </c>
    </row>
    <row r="218" spans="1:5" ht="144" customHeight="1">
      <c r="A218" s="67">
        <f>'High Risk Non-Compliant'!B173</f>
        <v>0</v>
      </c>
      <c r="B218" s="363">
        <f>'High Risk Non-Compliant'!C173</f>
        <v>0</v>
      </c>
      <c r="C218" s="363"/>
      <c r="D218" s="65" t="e">
        <f>IF(VLOOKUP(A218,'High Risk Non-Compliant'!B:K,$E$49,FALSE)=0,"N/A",VLOOKUP(A218,'High Risk Non-Compliant'!B:K,$E$49,FALSE))</f>
        <v>#REF!</v>
      </c>
      <c r="E218" s="65" t="e">
        <f>IF(D218="N/A","N/A",VLOOKUP(D218,'Crosswalk Detail'!A:B,2,FALSE))</f>
        <v>#REF!</v>
      </c>
    </row>
    <row r="219" spans="1:5" ht="144" customHeight="1">
      <c r="A219" s="67">
        <f>'High Risk Non-Compliant'!B174</f>
        <v>0</v>
      </c>
      <c r="B219" s="363">
        <f>'High Risk Non-Compliant'!C174</f>
        <v>0</v>
      </c>
      <c r="C219" s="363"/>
      <c r="D219" s="65" t="e">
        <f>IF(VLOOKUP(A219,'High Risk Non-Compliant'!B:K,$E$49,FALSE)=0,"N/A",VLOOKUP(A219,'High Risk Non-Compliant'!B:K,$E$49,FALSE))</f>
        <v>#REF!</v>
      </c>
      <c r="E219" s="65" t="e">
        <f>IF(D219="N/A","N/A",VLOOKUP(D219,'Crosswalk Detail'!A:B,2,FALSE))</f>
        <v>#REF!</v>
      </c>
    </row>
    <row r="220" spans="1:5" ht="144" customHeight="1">
      <c r="A220" s="67">
        <f>'High Risk Non-Compliant'!B175</f>
        <v>0</v>
      </c>
      <c r="B220" s="363">
        <f>'High Risk Non-Compliant'!C175</f>
        <v>0</v>
      </c>
      <c r="C220" s="363"/>
      <c r="D220" s="65" t="e">
        <f>IF(VLOOKUP(A220,'High Risk Non-Compliant'!B:K,$E$49,FALSE)=0,"N/A",VLOOKUP(A220,'High Risk Non-Compliant'!B:K,$E$49,FALSE))</f>
        <v>#REF!</v>
      </c>
      <c r="E220" s="65" t="e">
        <f>IF(D220="N/A","N/A",VLOOKUP(D220,'Crosswalk Detail'!A:B,2,FALSE))</f>
        <v>#REF!</v>
      </c>
    </row>
    <row r="221" spans="1:5" ht="144" customHeight="1">
      <c r="A221" s="67">
        <f>'High Risk Non-Compliant'!B176</f>
        <v>0</v>
      </c>
      <c r="B221" s="363">
        <f>'High Risk Non-Compliant'!C176</f>
        <v>0</v>
      </c>
      <c r="C221" s="363"/>
      <c r="D221" s="65" t="e">
        <f>VLOOKUP(A221,'High Risk Non-Compliant'!B:K,$E$49,FALSE)</f>
        <v>#REF!</v>
      </c>
      <c r="E221" s="65" t="e">
        <f>VLOOKUP(D221,'Crosswalk Detail'!A:B,2,FALSE)</f>
        <v>#REF!</v>
      </c>
    </row>
    <row r="222" spans="1:5" ht="144" customHeight="1">
      <c r="A222" s="67">
        <f>'High Risk Non-Compliant'!B177</f>
        <v>0</v>
      </c>
      <c r="B222" s="363">
        <f>'High Risk Non-Compliant'!C177</f>
        <v>0</v>
      </c>
      <c r="C222" s="363"/>
      <c r="D222" s="65" t="e">
        <f>VLOOKUP(A222,'High Risk Non-Compliant'!B:K,$E$49,FALSE)</f>
        <v>#REF!</v>
      </c>
      <c r="E222" s="65" t="e">
        <f>VLOOKUP(D222,'Crosswalk Detail'!A:B,2,FALSE)</f>
        <v>#REF!</v>
      </c>
    </row>
    <row r="223" spans="1:5" ht="144" customHeight="1">
      <c r="A223" s="67">
        <f>'High Risk Non-Compliant'!B178</f>
        <v>0</v>
      </c>
      <c r="B223" s="363">
        <f>'High Risk Non-Compliant'!C178</f>
        <v>0</v>
      </c>
      <c r="C223" s="363"/>
      <c r="D223" s="65" t="e">
        <f>VLOOKUP(A223,'High Risk Non-Compliant'!B:K,$E$49,FALSE)</f>
        <v>#REF!</v>
      </c>
      <c r="E223" s="65" t="e">
        <f>VLOOKUP(D223,'Crosswalk Detail'!A:B,2,FALSE)</f>
        <v>#REF!</v>
      </c>
    </row>
    <row r="224" spans="1:5" ht="144" customHeight="1">
      <c r="A224" s="67">
        <f>'High Risk Non-Compliant'!B179</f>
        <v>0</v>
      </c>
      <c r="B224" s="363">
        <f>'High Risk Non-Compliant'!C179</f>
        <v>0</v>
      </c>
      <c r="C224" s="363"/>
      <c r="D224" s="65" t="e">
        <f>VLOOKUP(A224,'High Risk Non-Compliant'!B:K,$E$49,FALSE)</f>
        <v>#REF!</v>
      </c>
      <c r="E224" s="65" t="e">
        <f>VLOOKUP(D224,'Crosswalk Detail'!A:B,2,FALSE)</f>
        <v>#REF!</v>
      </c>
    </row>
    <row r="225" spans="1:5" ht="144" customHeight="1">
      <c r="A225" s="67">
        <f>'High Risk Non-Compliant'!B180</f>
        <v>0</v>
      </c>
      <c r="B225" s="363">
        <f>'High Risk Non-Compliant'!C180</f>
        <v>0</v>
      </c>
      <c r="C225" s="363"/>
      <c r="D225" s="65" t="e">
        <f>VLOOKUP(A225,'High Risk Non-Compliant'!B:K,$E$49,FALSE)</f>
        <v>#REF!</v>
      </c>
      <c r="E225" s="65" t="e">
        <f>VLOOKUP(D225,'Crosswalk Detail'!A:B,2,FALSE)</f>
        <v>#REF!</v>
      </c>
    </row>
    <row r="226" spans="1:5" ht="144" customHeight="1">
      <c r="A226" s="67">
        <f>'High Risk Non-Compliant'!B181</f>
        <v>0</v>
      </c>
      <c r="B226" s="363">
        <f>'High Risk Non-Compliant'!C181</f>
        <v>0</v>
      </c>
      <c r="C226" s="363"/>
      <c r="D226" s="65" t="e">
        <f>VLOOKUP(A226,'High Risk Non-Compliant'!B:K,$E$49,FALSE)</f>
        <v>#REF!</v>
      </c>
      <c r="E226" s="65" t="e">
        <f>VLOOKUP(D226,'Crosswalk Detail'!A:B,2,FALSE)</f>
        <v>#REF!</v>
      </c>
    </row>
    <row r="227" spans="1:5">
      <c r="A227" s="68">
        <f>'High Risk Non-Compliant'!B182</f>
        <v>0</v>
      </c>
      <c r="B227" s="361">
        <f>'High Risk Non-Compliant'!C182</f>
        <v>0</v>
      </c>
      <c r="C227" s="361"/>
      <c r="D227" s="65"/>
      <c r="E227" s="65"/>
    </row>
    <row r="228" spans="1:5" ht="29.25" customHeight="1">
      <c r="A228" s="68">
        <f>'High Risk Non-Compliant'!B183</f>
        <v>0</v>
      </c>
      <c r="B228" s="361">
        <f>'High Risk Non-Compliant'!C183</f>
        <v>0</v>
      </c>
      <c r="C228" s="361"/>
      <c r="D228" s="65"/>
      <c r="E228" s="65"/>
    </row>
    <row r="229" spans="1:5" ht="29.25" customHeight="1">
      <c r="A229" s="68">
        <f>'High Risk Non-Compliant'!B184</f>
        <v>0</v>
      </c>
      <c r="B229" s="361">
        <f>'High Risk Non-Compliant'!C184</f>
        <v>0</v>
      </c>
      <c r="C229" s="361"/>
      <c r="D229" s="65"/>
      <c r="E229" s="65"/>
    </row>
    <row r="230" spans="1:5">
      <c r="A230" s="68">
        <f>'High Risk Non-Compliant'!B185</f>
        <v>0</v>
      </c>
      <c r="B230" s="361">
        <f>'High Risk Non-Compliant'!C185</f>
        <v>0</v>
      </c>
      <c r="C230" s="361"/>
      <c r="D230" s="65"/>
      <c r="E230" s="65"/>
    </row>
    <row r="231" spans="1:5" ht="29.25" customHeight="1">
      <c r="A231" s="68">
        <f>'High Risk Non-Compliant'!B186</f>
        <v>0</v>
      </c>
      <c r="B231" s="361">
        <f>'High Risk Non-Compliant'!C186</f>
        <v>0</v>
      </c>
      <c r="C231" s="361"/>
      <c r="D231" s="65"/>
      <c r="E231" s="65"/>
    </row>
    <row r="232" spans="1:5" ht="29.25" customHeight="1">
      <c r="A232" s="68">
        <f>'High Risk Non-Compliant'!B187</f>
        <v>0</v>
      </c>
      <c r="B232" s="361">
        <f>'High Risk Non-Compliant'!C187</f>
        <v>0</v>
      </c>
      <c r="C232" s="361"/>
      <c r="D232" s="65"/>
      <c r="E232" s="65"/>
    </row>
    <row r="233" spans="1:5" ht="44.25" customHeight="1">
      <c r="A233" s="68">
        <f>'High Risk Non-Compliant'!B188</f>
        <v>0</v>
      </c>
      <c r="B233" s="361">
        <f>'High Risk Non-Compliant'!C188</f>
        <v>0</v>
      </c>
      <c r="C233" s="361"/>
      <c r="D233" s="65"/>
      <c r="E233" s="65"/>
    </row>
    <row r="234" spans="1:5">
      <c r="A234" s="68">
        <f>'High Risk Non-Compliant'!B189</f>
        <v>0</v>
      </c>
      <c r="B234" s="361">
        <f>'High Risk Non-Compliant'!C189</f>
        <v>0</v>
      </c>
      <c r="C234" s="361"/>
      <c r="D234" s="65"/>
      <c r="E234" s="65"/>
    </row>
    <row r="235" spans="1:5">
      <c r="A235" s="68">
        <f>'High Risk Non-Compliant'!B190</f>
        <v>0</v>
      </c>
      <c r="B235" s="361">
        <f>'High Risk Non-Compliant'!C190</f>
        <v>0</v>
      </c>
      <c r="C235" s="361"/>
      <c r="D235" s="65"/>
      <c r="E235" s="65"/>
    </row>
    <row r="236" spans="1:5">
      <c r="A236" s="68">
        <f>'High Risk Non-Compliant'!B191</f>
        <v>0</v>
      </c>
      <c r="B236" s="361">
        <f>'High Risk Non-Compliant'!C191</f>
        <v>0</v>
      </c>
      <c r="C236" s="361"/>
      <c r="D236" s="65"/>
      <c r="E236" s="65"/>
    </row>
    <row r="237" spans="1:5">
      <c r="A237" s="68">
        <f>'High Risk Non-Compliant'!B192</f>
        <v>0</v>
      </c>
      <c r="B237" s="361">
        <f>'High Risk Non-Compliant'!C192</f>
        <v>0</v>
      </c>
      <c r="C237" s="361"/>
      <c r="D237" s="65"/>
      <c r="E237" s="65"/>
    </row>
    <row r="238" spans="1:5">
      <c r="A238" s="68">
        <f>'High Risk Non-Compliant'!B193</f>
        <v>0</v>
      </c>
      <c r="B238" s="361">
        <f>'High Risk Non-Compliant'!C193</f>
        <v>0</v>
      </c>
      <c r="C238" s="361"/>
      <c r="D238" s="65"/>
      <c r="E238" s="65"/>
    </row>
    <row r="239" spans="1:5">
      <c r="A239" s="68">
        <f>'High Risk Non-Compliant'!B194</f>
        <v>0</v>
      </c>
      <c r="B239" s="361">
        <f>'High Risk Non-Compliant'!C194</f>
        <v>0</v>
      </c>
      <c r="C239" s="361"/>
      <c r="D239" s="65"/>
      <c r="E239" s="65"/>
    </row>
    <row r="240" spans="1:5">
      <c r="A240" s="68">
        <f>'High Risk Non-Compliant'!B195</f>
        <v>0</v>
      </c>
      <c r="B240" s="361">
        <f>'High Risk Non-Compliant'!C195</f>
        <v>0</v>
      </c>
      <c r="C240" s="361"/>
      <c r="D240" s="65"/>
      <c r="E240" s="65"/>
    </row>
    <row r="241" spans="1:5">
      <c r="A241" s="68">
        <f>'High Risk Non-Compliant'!B196</f>
        <v>0</v>
      </c>
      <c r="B241" s="361">
        <f>'High Risk Non-Compliant'!C196</f>
        <v>0</v>
      </c>
      <c r="C241" s="361"/>
      <c r="D241" s="65"/>
      <c r="E241" s="65"/>
    </row>
    <row r="242" spans="1:5">
      <c r="A242" s="68">
        <f>'High Risk Non-Compliant'!B197</f>
        <v>0</v>
      </c>
      <c r="B242" s="361">
        <f>'High Risk Non-Compliant'!C197</f>
        <v>0</v>
      </c>
      <c r="C242" s="361"/>
      <c r="D242" s="65"/>
      <c r="E242" s="65"/>
    </row>
    <row r="243" spans="1:5">
      <c r="A243" s="68">
        <f>'High Risk Non-Compliant'!B198</f>
        <v>0</v>
      </c>
      <c r="B243" s="361">
        <f>'High Risk Non-Compliant'!C198</f>
        <v>0</v>
      </c>
      <c r="C243" s="361"/>
      <c r="D243" s="65"/>
      <c r="E243" s="65"/>
    </row>
    <row r="244" spans="1:5" ht="29.25" customHeight="1">
      <c r="A244" s="68">
        <f>'High Risk Non-Compliant'!B199</f>
        <v>0</v>
      </c>
      <c r="B244" s="361">
        <f>'High Risk Non-Compliant'!C199</f>
        <v>0</v>
      </c>
      <c r="C244" s="361"/>
      <c r="D244" s="65"/>
      <c r="E244" s="65"/>
    </row>
    <row r="245" spans="1:5" ht="29.25" customHeight="1">
      <c r="A245" s="68">
        <f>'High Risk Non-Compliant'!B200</f>
        <v>0</v>
      </c>
      <c r="B245" s="361">
        <f>'High Risk Non-Compliant'!C200</f>
        <v>0</v>
      </c>
      <c r="C245" s="361"/>
      <c r="D245" s="65"/>
      <c r="E245" s="65"/>
    </row>
    <row r="246" spans="1:5" ht="58.5" customHeight="1">
      <c r="A246" s="68">
        <f>'High Risk Non-Compliant'!B201</f>
        <v>0</v>
      </c>
      <c r="B246" s="361">
        <f>'High Risk Non-Compliant'!C201</f>
        <v>0</v>
      </c>
      <c r="C246" s="361"/>
      <c r="D246" s="65"/>
      <c r="E246" s="65"/>
    </row>
    <row r="247" spans="1:5" ht="44.25" customHeight="1">
      <c r="A247" s="68">
        <f>'High Risk Non-Compliant'!B202</f>
        <v>0</v>
      </c>
      <c r="B247" s="361">
        <f>'High Risk Non-Compliant'!C202</f>
        <v>0</v>
      </c>
      <c r="C247" s="361"/>
      <c r="D247" s="65"/>
      <c r="E247" s="65"/>
    </row>
    <row r="248" spans="1:5" ht="29.25" customHeight="1">
      <c r="A248" s="68">
        <f>'High Risk Non-Compliant'!B203</f>
        <v>0</v>
      </c>
      <c r="B248" s="361">
        <f>'High Risk Non-Compliant'!C203</f>
        <v>0</v>
      </c>
      <c r="C248" s="361"/>
      <c r="D248" s="65"/>
      <c r="E248" s="65"/>
    </row>
    <row r="249" spans="1:5" ht="44.25" customHeight="1">
      <c r="A249" s="68">
        <f>'High Risk Non-Compliant'!B204</f>
        <v>0</v>
      </c>
      <c r="B249" s="361">
        <f>'High Risk Non-Compliant'!C204</f>
        <v>0</v>
      </c>
      <c r="C249" s="361"/>
      <c r="D249" s="65"/>
      <c r="E249" s="65"/>
    </row>
    <row r="250" spans="1:5" ht="29.25" customHeight="1">
      <c r="A250" s="68">
        <f>'High Risk Non-Compliant'!B205</f>
        <v>0</v>
      </c>
      <c r="B250" s="361">
        <f>'High Risk Non-Compliant'!C205</f>
        <v>0</v>
      </c>
      <c r="C250" s="361"/>
      <c r="D250" s="65"/>
      <c r="E250" s="65"/>
    </row>
    <row r="251" spans="1:5" ht="175.5" customHeight="1">
      <c r="A251" s="68">
        <f>'High Risk Non-Compliant'!B206</f>
        <v>0</v>
      </c>
      <c r="B251" s="361">
        <f>'High Risk Non-Compliant'!C206</f>
        <v>0</v>
      </c>
      <c r="C251" s="361"/>
      <c r="D251" s="65"/>
      <c r="E251" s="65"/>
    </row>
    <row r="252" spans="1:5" ht="73.5" customHeight="1">
      <c r="A252" s="68">
        <f>'High Risk Non-Compliant'!B207</f>
        <v>0</v>
      </c>
      <c r="B252" s="361">
        <f>'High Risk Non-Compliant'!C207</f>
        <v>0</v>
      </c>
      <c r="C252" s="361"/>
      <c r="D252" s="65"/>
      <c r="E252" s="65"/>
    </row>
    <row r="253" spans="1:5" ht="87.75" customHeight="1">
      <c r="A253" s="68">
        <f>'High Risk Non-Compliant'!B208</f>
        <v>0</v>
      </c>
      <c r="B253" s="361">
        <f>'High Risk Non-Compliant'!C208</f>
        <v>0</v>
      </c>
      <c r="C253" s="361"/>
      <c r="D253" s="65"/>
      <c r="E253" s="65"/>
    </row>
    <row r="254" spans="1:5">
      <c r="A254" s="68">
        <f>'High Risk Non-Compliant'!B209</f>
        <v>0</v>
      </c>
      <c r="B254" s="361">
        <f>'High Risk Non-Compliant'!C209</f>
        <v>0</v>
      </c>
      <c r="C254" s="361"/>
      <c r="D254" s="65"/>
      <c r="E254" s="65"/>
    </row>
    <row r="255" spans="1:5" ht="29.25" customHeight="1">
      <c r="A255" s="68">
        <f>'High Risk Non-Compliant'!B210</f>
        <v>0</v>
      </c>
      <c r="B255" s="361">
        <f>'High Risk Non-Compliant'!C210</f>
        <v>0</v>
      </c>
      <c r="C255" s="361"/>
      <c r="D255" s="65"/>
      <c r="E255" s="65"/>
    </row>
    <row r="256" spans="1:5">
      <c r="A256" s="68">
        <f>'High Risk Non-Compliant'!B211</f>
        <v>0</v>
      </c>
      <c r="B256" s="361">
        <f>'High Risk Non-Compliant'!C211</f>
        <v>0</v>
      </c>
      <c r="C256" s="361"/>
      <c r="D256" s="65"/>
      <c r="E256" s="65"/>
    </row>
    <row r="257" spans="1:5">
      <c r="A257" s="68">
        <f>'High Risk Non-Compliant'!B212</f>
        <v>0</v>
      </c>
      <c r="B257" s="361">
        <f>'High Risk Non-Compliant'!C212</f>
        <v>0</v>
      </c>
      <c r="C257" s="361"/>
      <c r="D257" s="65"/>
      <c r="E257" s="65"/>
    </row>
    <row r="258" spans="1:5">
      <c r="A258" s="68">
        <f>'High Risk Non-Compliant'!B213</f>
        <v>0</v>
      </c>
      <c r="B258" s="361">
        <f>'High Risk Non-Compliant'!C213</f>
        <v>0</v>
      </c>
      <c r="C258" s="361"/>
      <c r="D258" s="65"/>
      <c r="E258" s="65"/>
    </row>
    <row r="259" spans="1:5">
      <c r="A259" s="68">
        <f>'High Risk Non-Compliant'!B214</f>
        <v>0</v>
      </c>
      <c r="B259" s="361">
        <f>'High Risk Non-Compliant'!C214</f>
        <v>0</v>
      </c>
      <c r="C259" s="361"/>
      <c r="D259" s="65"/>
      <c r="E259" s="65"/>
    </row>
    <row r="260" spans="1:5">
      <c r="A260" s="68">
        <f>'High Risk Non-Compliant'!B215</f>
        <v>0</v>
      </c>
      <c r="B260" s="361">
        <f>'High Risk Non-Compliant'!C215</f>
        <v>0</v>
      </c>
      <c r="C260" s="361"/>
      <c r="D260" s="65"/>
      <c r="E260" s="65"/>
    </row>
    <row r="261" spans="1:5">
      <c r="A261" s="68">
        <f>'High Risk Non-Compliant'!B216</f>
        <v>0</v>
      </c>
      <c r="B261" s="361">
        <f>'High Risk Non-Compliant'!C216</f>
        <v>0</v>
      </c>
      <c r="C261" s="361"/>
      <c r="D261" s="65"/>
      <c r="E261" s="65"/>
    </row>
    <row r="262" spans="1:5">
      <c r="A262" s="68">
        <f>'High Risk Non-Compliant'!B217</f>
        <v>0</v>
      </c>
      <c r="B262" s="361">
        <f>'High Risk Non-Compliant'!C217</f>
        <v>0</v>
      </c>
      <c r="C262" s="361"/>
      <c r="D262" s="65"/>
      <c r="E262" s="65"/>
    </row>
    <row r="263" spans="1:5">
      <c r="A263" s="68">
        <f>'High Risk Non-Compliant'!B218</f>
        <v>0</v>
      </c>
      <c r="B263" s="361">
        <f>'High Risk Non-Compliant'!C218</f>
        <v>0</v>
      </c>
      <c r="C263" s="361"/>
      <c r="D263" s="65"/>
      <c r="E263" s="65"/>
    </row>
    <row r="264" spans="1:5">
      <c r="A264" s="68">
        <f>'High Risk Non-Compliant'!B219</f>
        <v>0</v>
      </c>
      <c r="B264" s="361">
        <f>'High Risk Non-Compliant'!C219</f>
        <v>0</v>
      </c>
      <c r="C264" s="361"/>
      <c r="D264" s="65"/>
      <c r="E264" s="65"/>
    </row>
    <row r="265" spans="1:5">
      <c r="A265" s="68">
        <f>'High Risk Non-Compliant'!B220</f>
        <v>0</v>
      </c>
      <c r="B265" s="361">
        <f>'High Risk Non-Compliant'!C220</f>
        <v>0</v>
      </c>
      <c r="C265" s="361"/>
      <c r="D265" s="65"/>
      <c r="E265" s="65"/>
    </row>
    <row r="266" spans="1:5" ht="58.5" customHeight="1">
      <c r="A266" s="68">
        <f>'High Risk Non-Compliant'!B221</f>
        <v>0</v>
      </c>
      <c r="B266" s="361">
        <f>'High Risk Non-Compliant'!C221</f>
        <v>0</v>
      </c>
      <c r="C266" s="361"/>
      <c r="D266" s="65"/>
      <c r="E266" s="65"/>
    </row>
    <row r="267" spans="1:5" ht="58.5" customHeight="1">
      <c r="A267" s="68">
        <f>'High Risk Non-Compliant'!B222</f>
        <v>0</v>
      </c>
      <c r="B267" s="361">
        <f>'High Risk Non-Compliant'!C222</f>
        <v>0</v>
      </c>
      <c r="C267" s="361"/>
      <c r="D267" s="65"/>
      <c r="E267" s="65"/>
    </row>
    <row r="268" spans="1:5" ht="58.5" customHeight="1">
      <c r="A268" s="68">
        <f>'High Risk Non-Compliant'!B223</f>
        <v>0</v>
      </c>
      <c r="B268" s="361">
        <f>'High Risk Non-Compliant'!C223</f>
        <v>0</v>
      </c>
      <c r="C268" s="361"/>
      <c r="D268" s="65"/>
      <c r="E268" s="65"/>
    </row>
    <row r="269" spans="1:5" ht="58.5" customHeight="1">
      <c r="A269" s="68">
        <f>'High Risk Non-Compliant'!B224</f>
        <v>0</v>
      </c>
      <c r="B269" s="361">
        <f>'High Risk Non-Compliant'!C224</f>
        <v>0</v>
      </c>
      <c r="C269" s="361"/>
      <c r="D269" s="65"/>
      <c r="E269" s="65"/>
    </row>
    <row r="270" spans="1:5" ht="58.5" customHeight="1">
      <c r="A270" s="68">
        <f>'High Risk Non-Compliant'!B225</f>
        <v>0</v>
      </c>
      <c r="B270" s="361">
        <f>'High Risk Non-Compliant'!C225</f>
        <v>0</v>
      </c>
      <c r="C270" s="361"/>
      <c r="D270" s="65"/>
      <c r="E270" s="65"/>
    </row>
    <row r="271" spans="1:5" ht="58.5" customHeight="1">
      <c r="A271" s="68">
        <f>'High Risk Non-Compliant'!B226</f>
        <v>0</v>
      </c>
      <c r="B271" s="361">
        <f>'High Risk Non-Compliant'!C226</f>
        <v>0</v>
      </c>
      <c r="C271" s="361"/>
      <c r="D271" s="65"/>
      <c r="E271" s="65"/>
    </row>
    <row r="272" spans="1:5" ht="58.5" customHeight="1">
      <c r="A272" s="68">
        <f>'High Risk Non-Compliant'!B227</f>
        <v>0</v>
      </c>
      <c r="B272" s="361">
        <f>'High Risk Non-Compliant'!C227</f>
        <v>0</v>
      </c>
      <c r="C272" s="361"/>
      <c r="D272" s="65"/>
      <c r="E272" s="65"/>
    </row>
    <row r="273" spans="1:5">
      <c r="A273" s="68">
        <f>'High Risk Non-Compliant'!B228</f>
        <v>0</v>
      </c>
      <c r="B273" s="361">
        <f>'High Risk Non-Compliant'!C228</f>
        <v>0</v>
      </c>
      <c r="C273" s="361"/>
      <c r="D273" s="65"/>
      <c r="E273" s="65"/>
    </row>
    <row r="274" spans="1:5">
      <c r="A274" s="68">
        <f>'High Risk Non-Compliant'!B229</f>
        <v>0</v>
      </c>
      <c r="B274" s="361">
        <f>'High Risk Non-Compliant'!C229</f>
        <v>0</v>
      </c>
      <c r="C274" s="361"/>
      <c r="D274" s="65"/>
      <c r="E274" s="65"/>
    </row>
    <row r="275" spans="1:5">
      <c r="A275" s="68">
        <f>'High Risk Non-Compliant'!B230</f>
        <v>0</v>
      </c>
      <c r="B275" s="361">
        <f>'High Risk Non-Compliant'!C230</f>
        <v>0</v>
      </c>
      <c r="C275" s="361"/>
      <c r="D275" s="65"/>
      <c r="E275" s="65"/>
    </row>
    <row r="276" spans="1:5" ht="44.25" customHeight="1">
      <c r="A276" s="68">
        <f>'High Risk Non-Compliant'!B231</f>
        <v>0</v>
      </c>
      <c r="B276" s="361">
        <f>'High Risk Non-Compliant'!C231</f>
        <v>0</v>
      </c>
      <c r="C276" s="361"/>
      <c r="D276" s="65"/>
      <c r="E276" s="65"/>
    </row>
    <row r="277" spans="1:5" ht="44.25" customHeight="1">
      <c r="A277" s="68">
        <f>'High Risk Non-Compliant'!B232</f>
        <v>0</v>
      </c>
      <c r="B277" s="361">
        <f>'High Risk Non-Compliant'!C232</f>
        <v>0</v>
      </c>
      <c r="C277" s="361"/>
      <c r="D277" s="65"/>
      <c r="E277" s="65"/>
    </row>
    <row r="278" spans="1:5" ht="44.25" customHeight="1">
      <c r="A278" s="68">
        <f>'High Risk Non-Compliant'!B233</f>
        <v>0</v>
      </c>
      <c r="B278" s="361">
        <f>'High Risk Non-Compliant'!C233</f>
        <v>0</v>
      </c>
      <c r="C278" s="361"/>
      <c r="D278" s="65"/>
      <c r="E278" s="65"/>
    </row>
    <row r="279" spans="1:5" ht="44.25" customHeight="1">
      <c r="A279" s="68">
        <f>'High Risk Non-Compliant'!B234</f>
        <v>0</v>
      </c>
      <c r="B279" s="361">
        <f>'High Risk Non-Compliant'!C234</f>
        <v>0</v>
      </c>
      <c r="C279" s="361"/>
      <c r="D279" s="65"/>
      <c r="E279" s="65"/>
    </row>
    <row r="280" spans="1:5" ht="44.25" customHeight="1">
      <c r="A280" s="68">
        <f>'High Risk Non-Compliant'!B235</f>
        <v>0</v>
      </c>
      <c r="B280" s="361">
        <f>'High Risk Non-Compliant'!C235</f>
        <v>0</v>
      </c>
      <c r="C280" s="361"/>
      <c r="D280" s="65"/>
      <c r="E280" s="65"/>
    </row>
    <row r="281" spans="1:5" ht="44.25" customHeight="1">
      <c r="A281" s="68">
        <f>'High Risk Non-Compliant'!B236</f>
        <v>0</v>
      </c>
      <c r="B281" s="361">
        <f>'High Risk Non-Compliant'!C236</f>
        <v>0</v>
      </c>
      <c r="C281" s="361"/>
      <c r="D281" s="65"/>
      <c r="E281" s="65"/>
    </row>
    <row r="282" spans="1:5" ht="44.25" customHeight="1">
      <c r="A282" s="68">
        <f>'High Risk Non-Compliant'!B237</f>
        <v>0</v>
      </c>
      <c r="B282" s="361">
        <f>'High Risk Non-Compliant'!C237</f>
        <v>0</v>
      </c>
      <c r="C282" s="361"/>
      <c r="D282" s="65"/>
      <c r="E282" s="65"/>
    </row>
    <row r="283" spans="1:5" ht="29.25" customHeight="1">
      <c r="A283" s="68">
        <f>'High Risk Non-Compliant'!B238</f>
        <v>0</v>
      </c>
      <c r="B283" s="361">
        <f>'High Risk Non-Compliant'!C238</f>
        <v>0</v>
      </c>
      <c r="C283" s="361"/>
      <c r="D283" s="65"/>
      <c r="E283" s="65"/>
    </row>
    <row r="284" spans="1:5" ht="29.25" customHeight="1">
      <c r="A284" s="68">
        <f>'High Risk Non-Compliant'!B239</f>
        <v>0</v>
      </c>
      <c r="B284" s="361">
        <f>'High Risk Non-Compliant'!C239</f>
        <v>0</v>
      </c>
      <c r="C284" s="361"/>
      <c r="D284" s="65"/>
      <c r="E284" s="65"/>
    </row>
    <row r="285" spans="1:5" ht="29.25" customHeight="1">
      <c r="A285" s="68">
        <f>'High Risk Non-Compliant'!B240</f>
        <v>0</v>
      </c>
      <c r="B285" s="361">
        <f>'High Risk Non-Compliant'!C240</f>
        <v>0</v>
      </c>
      <c r="C285" s="361"/>
      <c r="D285" s="65"/>
      <c r="E285" s="65"/>
    </row>
    <row r="286" spans="1:5">
      <c r="A286" s="68">
        <f>'High Risk Non-Compliant'!B241</f>
        <v>0</v>
      </c>
      <c r="B286" s="361">
        <f>'High Risk Non-Compliant'!C241</f>
        <v>0</v>
      </c>
      <c r="C286" s="361"/>
      <c r="D286" s="65"/>
      <c r="E286" s="65"/>
    </row>
    <row r="287" spans="1:5">
      <c r="A287" s="68">
        <f>'High Risk Non-Compliant'!B242</f>
        <v>0</v>
      </c>
      <c r="B287" s="361">
        <f>'High Risk Non-Compliant'!C242</f>
        <v>0</v>
      </c>
      <c r="C287" s="361"/>
      <c r="D287" s="65"/>
      <c r="E287" s="65"/>
    </row>
    <row r="288" spans="1:5" ht="44.25" customHeight="1">
      <c r="A288" s="68">
        <f>'High Risk Non-Compliant'!B243</f>
        <v>0</v>
      </c>
      <c r="B288" s="361">
        <f>'High Risk Non-Compliant'!C243</f>
        <v>0</v>
      </c>
      <c r="C288" s="361"/>
      <c r="D288" s="65"/>
      <c r="E288" s="65"/>
    </row>
    <row r="289" spans="1:5" ht="44.25" customHeight="1">
      <c r="A289" s="68">
        <f>'High Risk Non-Compliant'!B244</f>
        <v>0</v>
      </c>
      <c r="B289" s="361">
        <f>'High Risk Non-Compliant'!C244</f>
        <v>0</v>
      </c>
      <c r="C289" s="361"/>
      <c r="D289" s="65"/>
      <c r="E289" s="65"/>
    </row>
    <row r="290" spans="1:5" ht="87.75" customHeight="1">
      <c r="A290" s="68">
        <f>'High Risk Non-Compliant'!B245</f>
        <v>0</v>
      </c>
      <c r="B290" s="361">
        <f>'High Risk Non-Compliant'!C245</f>
        <v>0</v>
      </c>
      <c r="C290" s="361"/>
      <c r="D290" s="65"/>
      <c r="E290" s="65"/>
    </row>
    <row r="291" spans="1:5" ht="73.5" customHeight="1">
      <c r="A291" s="68">
        <f>'High Risk Non-Compliant'!B246</f>
        <v>0</v>
      </c>
      <c r="B291" s="361">
        <f>'High Risk Non-Compliant'!C246</f>
        <v>0</v>
      </c>
      <c r="C291" s="361"/>
      <c r="D291" s="65"/>
      <c r="E291" s="65"/>
    </row>
    <row r="292" spans="1:5" ht="73.5" customHeight="1">
      <c r="A292" s="68">
        <f>'High Risk Non-Compliant'!B247</f>
        <v>0</v>
      </c>
      <c r="B292" s="361">
        <f>'High Risk Non-Compliant'!C247</f>
        <v>0</v>
      </c>
      <c r="C292" s="361"/>
      <c r="D292" s="65"/>
      <c r="E292" s="65"/>
    </row>
    <row r="293" spans="1:5" ht="44.25" customHeight="1">
      <c r="A293" s="68">
        <f>'High Risk Non-Compliant'!B248</f>
        <v>0</v>
      </c>
      <c r="B293" s="361">
        <f>'High Risk Non-Compliant'!C248</f>
        <v>0</v>
      </c>
      <c r="C293" s="361"/>
      <c r="D293" s="65"/>
      <c r="E293" s="65"/>
    </row>
    <row r="294" spans="1:5" ht="29.25" customHeight="1">
      <c r="A294" s="68">
        <f>'High Risk Non-Compliant'!B249</f>
        <v>0</v>
      </c>
      <c r="B294" s="361">
        <f>'High Risk Non-Compliant'!C249</f>
        <v>0</v>
      </c>
      <c r="C294" s="361"/>
      <c r="D294" s="65"/>
      <c r="E294" s="65"/>
    </row>
    <row r="295" spans="1:5" ht="29.25" customHeight="1">
      <c r="A295" s="68">
        <f>'High Risk Non-Compliant'!B250</f>
        <v>0</v>
      </c>
      <c r="B295" s="361">
        <f>'High Risk Non-Compliant'!C250</f>
        <v>0</v>
      </c>
      <c r="C295" s="361"/>
      <c r="D295" s="65"/>
      <c r="E295" s="65"/>
    </row>
    <row r="296" spans="1:5" ht="29.25" customHeight="1">
      <c r="A296" s="68">
        <f>'High Risk Non-Compliant'!B251</f>
        <v>0</v>
      </c>
      <c r="B296" s="361">
        <f>'High Risk Non-Compliant'!C251</f>
        <v>0</v>
      </c>
      <c r="C296" s="361"/>
      <c r="D296" s="65"/>
      <c r="E296" s="65"/>
    </row>
    <row r="297" spans="1:5" ht="44.25" customHeight="1">
      <c r="A297" s="68">
        <f>'High Risk Non-Compliant'!B252</f>
        <v>0</v>
      </c>
      <c r="B297" s="361">
        <f>'High Risk Non-Compliant'!C252</f>
        <v>0</v>
      </c>
      <c r="C297" s="361"/>
      <c r="D297" s="65"/>
      <c r="E297" s="65"/>
    </row>
    <row r="298" spans="1:5" ht="29.25" customHeight="1">
      <c r="A298" s="68">
        <f>'High Risk Non-Compliant'!B253</f>
        <v>0</v>
      </c>
      <c r="B298" s="361">
        <f>'High Risk Non-Compliant'!C253</f>
        <v>0</v>
      </c>
      <c r="C298" s="361"/>
      <c r="D298" s="65"/>
      <c r="E298" s="65"/>
    </row>
    <row r="299" spans="1:5" ht="73.5" customHeight="1">
      <c r="A299" s="68">
        <f>'High Risk Non-Compliant'!B254</f>
        <v>0</v>
      </c>
      <c r="B299" s="361">
        <f>'High Risk Non-Compliant'!C254</f>
        <v>0</v>
      </c>
      <c r="C299" s="361"/>
      <c r="D299" s="65"/>
      <c r="E299" s="65"/>
    </row>
    <row r="300" spans="1:5" ht="58.5" customHeight="1">
      <c r="A300" s="68">
        <f>'High Risk Non-Compliant'!B255</f>
        <v>0</v>
      </c>
      <c r="B300" s="361">
        <f>'High Risk Non-Compliant'!C255</f>
        <v>0</v>
      </c>
      <c r="C300" s="361"/>
      <c r="D300" s="65"/>
      <c r="E300" s="65"/>
    </row>
    <row r="301" spans="1:5" ht="73.5" customHeight="1">
      <c r="A301" s="68">
        <f>'High Risk Non-Compliant'!B256</f>
        <v>0</v>
      </c>
      <c r="B301" s="361">
        <f>'High Risk Non-Compliant'!C256</f>
        <v>0</v>
      </c>
      <c r="C301" s="361"/>
      <c r="D301" s="65"/>
      <c r="E301" s="65"/>
    </row>
    <row r="302" spans="1:5" ht="87.75" customHeight="1">
      <c r="A302" s="68">
        <f>'High Risk Non-Compliant'!B257</f>
        <v>0</v>
      </c>
      <c r="B302" s="361">
        <f>'High Risk Non-Compliant'!C257</f>
        <v>0</v>
      </c>
      <c r="C302" s="361"/>
      <c r="D302" s="65"/>
      <c r="E302" s="65"/>
    </row>
    <row r="303" spans="1:5" ht="29.25" customHeight="1">
      <c r="A303" s="68">
        <f>'High Risk Non-Compliant'!B258</f>
        <v>0</v>
      </c>
      <c r="B303" s="361">
        <f>'High Risk Non-Compliant'!C258</f>
        <v>0</v>
      </c>
      <c r="C303" s="361"/>
      <c r="D303" s="65"/>
      <c r="E303" s="65"/>
    </row>
    <row r="304" spans="1:5" ht="29.25" customHeight="1">
      <c r="A304" s="68">
        <f>'High Risk Non-Compliant'!B259</f>
        <v>0</v>
      </c>
      <c r="B304" s="361">
        <f>'High Risk Non-Compliant'!C259</f>
        <v>0</v>
      </c>
      <c r="C304" s="361"/>
      <c r="D304" s="65"/>
      <c r="E304" s="65"/>
    </row>
    <row r="305" spans="1:6" ht="29.25" customHeight="1">
      <c r="A305" s="68">
        <f>'High Risk Non-Compliant'!B260</f>
        <v>0</v>
      </c>
      <c r="B305" s="361">
        <f>'High Risk Non-Compliant'!C260</f>
        <v>0</v>
      </c>
      <c r="C305" s="361"/>
      <c r="D305" s="65"/>
      <c r="E305" s="65"/>
    </row>
    <row r="306" spans="1:6" ht="29.25" customHeight="1">
      <c r="A306" s="68">
        <f>'High Risk Non-Compliant'!B261</f>
        <v>0</v>
      </c>
      <c r="B306" s="361">
        <f>'High Risk Non-Compliant'!C261</f>
        <v>0</v>
      </c>
      <c r="C306" s="361"/>
      <c r="D306" s="65"/>
      <c r="E306" s="65"/>
    </row>
    <row r="307" spans="1:6" ht="29.25" customHeight="1">
      <c r="A307" s="68">
        <f>'High Risk Non-Compliant'!B262</f>
        <v>0</v>
      </c>
      <c r="B307" s="361">
        <f>'High Risk Non-Compliant'!C262</f>
        <v>0</v>
      </c>
      <c r="C307" s="361"/>
      <c r="D307" s="65"/>
      <c r="E307" s="65"/>
    </row>
    <row r="308" spans="1:6" ht="44.25" customHeight="1">
      <c r="A308" s="68">
        <f>'High Risk Non-Compliant'!B263</f>
        <v>0</v>
      </c>
      <c r="B308" s="361">
        <f>'High Risk Non-Compliant'!C263</f>
        <v>0</v>
      </c>
      <c r="C308" s="361"/>
      <c r="D308" s="65"/>
      <c r="E308" s="65"/>
    </row>
    <row r="309" spans="1:6" ht="29.25" customHeight="1">
      <c r="A309" s="68">
        <f>'High Risk Non-Compliant'!B264</f>
        <v>0</v>
      </c>
      <c r="B309" s="361">
        <f>'High Risk Non-Compliant'!C264</f>
        <v>0</v>
      </c>
      <c r="C309" s="361"/>
      <c r="D309" s="65"/>
      <c r="E309" s="65"/>
    </row>
    <row r="310" spans="1:6">
      <c r="A310" s="68">
        <f>'High Risk Non-Compliant'!B265</f>
        <v>0</v>
      </c>
      <c r="B310" s="361">
        <f>'High Risk Non-Compliant'!C265</f>
        <v>0</v>
      </c>
      <c r="C310" s="361"/>
      <c r="D310" s="65"/>
      <c r="E310" s="65"/>
    </row>
    <row r="311" spans="1:6">
      <c r="A311" s="68">
        <f>'High Risk Non-Compliant'!B266</f>
        <v>0</v>
      </c>
      <c r="B311" s="361">
        <f>'High Risk Non-Compliant'!C266</f>
        <v>0</v>
      </c>
      <c r="C311" s="361"/>
      <c r="D311" s="65"/>
      <c r="E311" s="65"/>
    </row>
    <row r="312" spans="1:6" ht="44.25" customHeight="1">
      <c r="A312" s="68">
        <f>'High Risk Non-Compliant'!B267</f>
        <v>0</v>
      </c>
      <c r="B312" s="361">
        <f>'High Risk Non-Compliant'!C267</f>
        <v>0</v>
      </c>
      <c r="C312" s="361"/>
      <c r="D312" s="65"/>
      <c r="E312" s="65"/>
    </row>
    <row r="313" spans="1:6" ht="44.25" customHeight="1">
      <c r="A313" s="68">
        <f>'High Risk Non-Compliant'!B268</f>
        <v>0</v>
      </c>
      <c r="B313" s="361">
        <f>'High Risk Non-Compliant'!C268</f>
        <v>0</v>
      </c>
      <c r="C313" s="361"/>
      <c r="D313" s="65"/>
      <c r="E313" s="65"/>
    </row>
    <row r="314" spans="1:6" ht="44.25" customHeight="1">
      <c r="A314" s="68">
        <f>'High Risk Non-Compliant'!B269</f>
        <v>0</v>
      </c>
      <c r="B314" s="361">
        <f>'High Risk Non-Compliant'!C269</f>
        <v>0</v>
      </c>
      <c r="C314" s="361"/>
      <c r="D314" s="65"/>
      <c r="E314" s="65"/>
    </row>
    <row r="315" spans="1:6" ht="44.25" customHeight="1">
      <c r="A315" s="68">
        <f>'High Risk Non-Compliant'!B270</f>
        <v>0</v>
      </c>
      <c r="B315" s="361">
        <f>'High Risk Non-Compliant'!C270</f>
        <v>0</v>
      </c>
      <c r="C315" s="361"/>
      <c r="D315" s="65"/>
      <c r="E315" s="65"/>
    </row>
    <row r="316" spans="1:6" ht="29.25" customHeight="1">
      <c r="A316" s="68">
        <f>'High Risk Non-Compliant'!B271</f>
        <v>0</v>
      </c>
      <c r="B316" s="361">
        <f>'High Risk Non-Compliant'!C271</f>
        <v>0</v>
      </c>
      <c r="C316" s="361"/>
      <c r="D316" s="65"/>
      <c r="E316" s="65"/>
    </row>
    <row r="317" spans="1:6" ht="29.25" customHeight="1">
      <c r="A317" s="68">
        <f>'High Risk Non-Compliant'!B272</f>
        <v>0</v>
      </c>
      <c r="B317" s="361">
        <f>'High Risk Non-Compliant'!C272</f>
        <v>0</v>
      </c>
      <c r="C317" s="361"/>
      <c r="D317" s="65"/>
      <c r="E317" s="65"/>
      <c r="F317" s="238" t="s">
        <v>91</v>
      </c>
    </row>
    <row r="318" spans="1:6">
      <c r="A318" s="238" t="s">
        <v>552</v>
      </c>
    </row>
  </sheetData>
  <mergeCells count="277">
    <mergeCell ref="B56:C56"/>
    <mergeCell ref="B57:C57"/>
    <mergeCell ref="B58:C58"/>
    <mergeCell ref="B53:C53"/>
    <mergeCell ref="B54:C54"/>
    <mergeCell ref="B55:C55"/>
    <mergeCell ref="B50:C50"/>
    <mergeCell ref="B51:C51"/>
    <mergeCell ref="B52:C52"/>
    <mergeCell ref="B65:C65"/>
    <mergeCell ref="B66:C66"/>
    <mergeCell ref="B67:C67"/>
    <mergeCell ref="B62:C62"/>
    <mergeCell ref="B63:C63"/>
    <mergeCell ref="B64:C64"/>
    <mergeCell ref="B59:C59"/>
    <mergeCell ref="B60:C60"/>
    <mergeCell ref="B61:C61"/>
    <mergeCell ref="B74:C74"/>
    <mergeCell ref="B75:C75"/>
    <mergeCell ref="B76:C76"/>
    <mergeCell ref="B71:C71"/>
    <mergeCell ref="B72:C72"/>
    <mergeCell ref="B73:C73"/>
    <mergeCell ref="B68:C68"/>
    <mergeCell ref="B69:C69"/>
    <mergeCell ref="B70:C70"/>
    <mergeCell ref="B83:C83"/>
    <mergeCell ref="B84:C84"/>
    <mergeCell ref="B85:C85"/>
    <mergeCell ref="B80:C80"/>
    <mergeCell ref="B81:C81"/>
    <mergeCell ref="B82:C82"/>
    <mergeCell ref="B77:C77"/>
    <mergeCell ref="B78:C78"/>
    <mergeCell ref="B79:C79"/>
    <mergeCell ref="B92:C92"/>
    <mergeCell ref="B93:C93"/>
    <mergeCell ref="B94:C94"/>
    <mergeCell ref="B89:C89"/>
    <mergeCell ref="B90:C90"/>
    <mergeCell ref="B91:C91"/>
    <mergeCell ref="B86:C86"/>
    <mergeCell ref="B87:C87"/>
    <mergeCell ref="B88:C88"/>
    <mergeCell ref="B101:C101"/>
    <mergeCell ref="B102:C102"/>
    <mergeCell ref="B103:C103"/>
    <mergeCell ref="B98:C98"/>
    <mergeCell ref="B99:C99"/>
    <mergeCell ref="B100:C100"/>
    <mergeCell ref="B95:C95"/>
    <mergeCell ref="B96:C96"/>
    <mergeCell ref="B97:C97"/>
    <mergeCell ref="B110:C110"/>
    <mergeCell ref="B111:C111"/>
    <mergeCell ref="B112:C112"/>
    <mergeCell ref="B107:C107"/>
    <mergeCell ref="B108:C108"/>
    <mergeCell ref="B109:C109"/>
    <mergeCell ref="B104:C104"/>
    <mergeCell ref="B105:C105"/>
    <mergeCell ref="B106:C106"/>
    <mergeCell ref="B119:C119"/>
    <mergeCell ref="B120:C120"/>
    <mergeCell ref="B121:C121"/>
    <mergeCell ref="B116:C116"/>
    <mergeCell ref="B117:C117"/>
    <mergeCell ref="B118:C118"/>
    <mergeCell ref="B113:C113"/>
    <mergeCell ref="B114:C114"/>
    <mergeCell ref="B115:C115"/>
    <mergeCell ref="B128:C128"/>
    <mergeCell ref="B129:C129"/>
    <mergeCell ref="B130:C130"/>
    <mergeCell ref="B125:C125"/>
    <mergeCell ref="B126:C126"/>
    <mergeCell ref="B127:C127"/>
    <mergeCell ref="B122:C122"/>
    <mergeCell ref="B123:C123"/>
    <mergeCell ref="B124:C124"/>
    <mergeCell ref="B137:C137"/>
    <mergeCell ref="B138:C138"/>
    <mergeCell ref="B139:C139"/>
    <mergeCell ref="B134:C134"/>
    <mergeCell ref="B135:C135"/>
    <mergeCell ref="B136:C136"/>
    <mergeCell ref="B131:C131"/>
    <mergeCell ref="B132:C132"/>
    <mergeCell ref="B133:C133"/>
    <mergeCell ref="B146:C146"/>
    <mergeCell ref="B147:C147"/>
    <mergeCell ref="B148:C148"/>
    <mergeCell ref="B143:C143"/>
    <mergeCell ref="B144:C144"/>
    <mergeCell ref="B145:C145"/>
    <mergeCell ref="B140:C140"/>
    <mergeCell ref="B141:C141"/>
    <mergeCell ref="B142:C142"/>
    <mergeCell ref="B155:C155"/>
    <mergeCell ref="B156:C156"/>
    <mergeCell ref="B157:C157"/>
    <mergeCell ref="B152:C152"/>
    <mergeCell ref="B153:C153"/>
    <mergeCell ref="B154:C154"/>
    <mergeCell ref="B149:C149"/>
    <mergeCell ref="B150:C150"/>
    <mergeCell ref="B151:C151"/>
    <mergeCell ref="B164:C164"/>
    <mergeCell ref="B165:C165"/>
    <mergeCell ref="B166:C166"/>
    <mergeCell ref="B161:C161"/>
    <mergeCell ref="B162:C162"/>
    <mergeCell ref="B163:C163"/>
    <mergeCell ref="B158:C158"/>
    <mergeCell ref="B159:C159"/>
    <mergeCell ref="B160:C160"/>
    <mergeCell ref="B173:C173"/>
    <mergeCell ref="B174:C174"/>
    <mergeCell ref="B175:C175"/>
    <mergeCell ref="B170:C170"/>
    <mergeCell ref="B171:C171"/>
    <mergeCell ref="B172:C172"/>
    <mergeCell ref="B167:C167"/>
    <mergeCell ref="B168:C168"/>
    <mergeCell ref="B169:C169"/>
    <mergeCell ref="B182:C182"/>
    <mergeCell ref="B183:C183"/>
    <mergeCell ref="B184:C184"/>
    <mergeCell ref="B179:C179"/>
    <mergeCell ref="B180:C180"/>
    <mergeCell ref="B181:C181"/>
    <mergeCell ref="B176:C176"/>
    <mergeCell ref="B177:C177"/>
    <mergeCell ref="B178:C178"/>
    <mergeCell ref="B191:C191"/>
    <mergeCell ref="B192:C192"/>
    <mergeCell ref="B193:C193"/>
    <mergeCell ref="B188:C188"/>
    <mergeCell ref="B189:C189"/>
    <mergeCell ref="B190:C190"/>
    <mergeCell ref="B185:C185"/>
    <mergeCell ref="B186:C186"/>
    <mergeCell ref="B187:C187"/>
    <mergeCell ref="B200:C200"/>
    <mergeCell ref="B201:C201"/>
    <mergeCell ref="B202:C202"/>
    <mergeCell ref="B197:C197"/>
    <mergeCell ref="B198:C198"/>
    <mergeCell ref="B199:C199"/>
    <mergeCell ref="B194:C194"/>
    <mergeCell ref="B195:C195"/>
    <mergeCell ref="B196:C196"/>
    <mergeCell ref="B209:C209"/>
    <mergeCell ref="B210:C210"/>
    <mergeCell ref="B211:C211"/>
    <mergeCell ref="B206:C206"/>
    <mergeCell ref="B207:C207"/>
    <mergeCell ref="B208:C208"/>
    <mergeCell ref="B203:C203"/>
    <mergeCell ref="B204:C204"/>
    <mergeCell ref="B205:C205"/>
    <mergeCell ref="B218:C218"/>
    <mergeCell ref="B219:C219"/>
    <mergeCell ref="B220:C220"/>
    <mergeCell ref="B215:C215"/>
    <mergeCell ref="B216:C216"/>
    <mergeCell ref="B217:C217"/>
    <mergeCell ref="B212:C212"/>
    <mergeCell ref="B213:C213"/>
    <mergeCell ref="B214:C214"/>
    <mergeCell ref="B227:C227"/>
    <mergeCell ref="B228:C228"/>
    <mergeCell ref="B229:C229"/>
    <mergeCell ref="B224:C224"/>
    <mergeCell ref="B225:C225"/>
    <mergeCell ref="B226:C226"/>
    <mergeCell ref="B221:C221"/>
    <mergeCell ref="B222:C222"/>
    <mergeCell ref="B223:C223"/>
    <mergeCell ref="B236:C236"/>
    <mergeCell ref="B237:C237"/>
    <mergeCell ref="B238:C238"/>
    <mergeCell ref="B233:C233"/>
    <mergeCell ref="B234:C234"/>
    <mergeCell ref="B235:C235"/>
    <mergeCell ref="B230:C230"/>
    <mergeCell ref="B231:C231"/>
    <mergeCell ref="B232:C232"/>
    <mergeCell ref="B245:C245"/>
    <mergeCell ref="B246:C246"/>
    <mergeCell ref="B247:C247"/>
    <mergeCell ref="B242:C242"/>
    <mergeCell ref="B243:C243"/>
    <mergeCell ref="B244:C244"/>
    <mergeCell ref="B239:C239"/>
    <mergeCell ref="B240:C240"/>
    <mergeCell ref="B241:C241"/>
    <mergeCell ref="B254:C254"/>
    <mergeCell ref="B255:C255"/>
    <mergeCell ref="B256:C256"/>
    <mergeCell ref="B251:C251"/>
    <mergeCell ref="B252:C252"/>
    <mergeCell ref="B253:C253"/>
    <mergeCell ref="B248:C248"/>
    <mergeCell ref="B249:C249"/>
    <mergeCell ref="B250:C250"/>
    <mergeCell ref="B263:C263"/>
    <mergeCell ref="B264:C264"/>
    <mergeCell ref="B265:C265"/>
    <mergeCell ref="B260:C260"/>
    <mergeCell ref="B261:C261"/>
    <mergeCell ref="B262:C262"/>
    <mergeCell ref="B257:C257"/>
    <mergeCell ref="B258:C258"/>
    <mergeCell ref="B259:C259"/>
    <mergeCell ref="B272:C272"/>
    <mergeCell ref="B273:C273"/>
    <mergeCell ref="B274:C274"/>
    <mergeCell ref="B269:C269"/>
    <mergeCell ref="B270:C270"/>
    <mergeCell ref="B271:C271"/>
    <mergeCell ref="B266:C266"/>
    <mergeCell ref="B267:C267"/>
    <mergeCell ref="B268:C268"/>
    <mergeCell ref="B281:C281"/>
    <mergeCell ref="B282:C282"/>
    <mergeCell ref="B283:C283"/>
    <mergeCell ref="B278:C278"/>
    <mergeCell ref="B279:C279"/>
    <mergeCell ref="B280:C280"/>
    <mergeCell ref="B275:C275"/>
    <mergeCell ref="B276:C276"/>
    <mergeCell ref="B277:C277"/>
    <mergeCell ref="B290:C290"/>
    <mergeCell ref="B291:C291"/>
    <mergeCell ref="B292:C292"/>
    <mergeCell ref="B287:C287"/>
    <mergeCell ref="B288:C288"/>
    <mergeCell ref="B289:C289"/>
    <mergeCell ref="B284:C284"/>
    <mergeCell ref="B285:C285"/>
    <mergeCell ref="B286:C286"/>
    <mergeCell ref="B304:C304"/>
    <mergeCell ref="B299:C299"/>
    <mergeCell ref="B300:C300"/>
    <mergeCell ref="B301:C301"/>
    <mergeCell ref="B296:C296"/>
    <mergeCell ref="B297:C297"/>
    <mergeCell ref="B298:C298"/>
    <mergeCell ref="B293:C293"/>
    <mergeCell ref="B294:C294"/>
    <mergeCell ref="B295:C295"/>
    <mergeCell ref="A47:E47"/>
    <mergeCell ref="A48:C48"/>
    <mergeCell ref="D48:E48"/>
    <mergeCell ref="A2:D2"/>
    <mergeCell ref="A3:E3"/>
    <mergeCell ref="B5:E5"/>
    <mergeCell ref="B4:C4"/>
    <mergeCell ref="D4:E4"/>
    <mergeCell ref="B317:C317"/>
    <mergeCell ref="B49:C49"/>
    <mergeCell ref="B314:C314"/>
    <mergeCell ref="B315:C315"/>
    <mergeCell ref="B316:C316"/>
    <mergeCell ref="B311:C311"/>
    <mergeCell ref="B312:C312"/>
    <mergeCell ref="B313:C313"/>
    <mergeCell ref="B308:C308"/>
    <mergeCell ref="B309:C309"/>
    <mergeCell ref="B310:C310"/>
    <mergeCell ref="B305:C305"/>
    <mergeCell ref="B306:C306"/>
    <mergeCell ref="B307:C307"/>
    <mergeCell ref="B302:C302"/>
    <mergeCell ref="B303:C303"/>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957"/>
  <sheetViews>
    <sheetView topLeftCell="A913" workbookViewId="0">
      <selection activeCell="A956" sqref="A956"/>
    </sheetView>
  </sheetViews>
  <sheetFormatPr defaultColWidth="8.5" defaultRowHeight="15.95"/>
  <sheetData>
    <row r="1" spans="1:2" ht="51">
      <c r="A1" s="35" t="s">
        <v>553</v>
      </c>
      <c r="B1" s="36" t="s">
        <v>554</v>
      </c>
    </row>
    <row r="2" spans="1:2" ht="84.95">
      <c r="A2" s="35" t="s">
        <v>555</v>
      </c>
      <c r="B2" s="36" t="s">
        <v>556</v>
      </c>
    </row>
    <row r="3" spans="1:2" ht="84.95">
      <c r="A3" s="35" t="s">
        <v>557</v>
      </c>
      <c r="B3" s="36" t="s">
        <v>558</v>
      </c>
    </row>
    <row r="4" spans="1:2" ht="33.950000000000003">
      <c r="A4" s="35" t="s">
        <v>559</v>
      </c>
      <c r="B4" s="36" t="s">
        <v>560</v>
      </c>
    </row>
    <row r="5" spans="1:2" ht="51">
      <c r="A5" s="35" t="s">
        <v>561</v>
      </c>
      <c r="B5" s="36" t="s">
        <v>562</v>
      </c>
    </row>
    <row r="6" spans="1:2" ht="84.95">
      <c r="A6" s="35" t="s">
        <v>563</v>
      </c>
      <c r="B6" s="36" t="s">
        <v>564</v>
      </c>
    </row>
    <row r="7" spans="1:2" ht="84.95">
      <c r="A7" s="35" t="s">
        <v>565</v>
      </c>
      <c r="B7" s="36" t="s">
        <v>566</v>
      </c>
    </row>
    <row r="8" spans="1:2" ht="51">
      <c r="A8" s="35" t="s">
        <v>567</v>
      </c>
      <c r="B8" s="36" t="s">
        <v>568</v>
      </c>
    </row>
    <row r="9" spans="1:2" ht="33.950000000000003">
      <c r="A9" s="35" t="s">
        <v>569</v>
      </c>
      <c r="B9" s="36" t="s">
        <v>570</v>
      </c>
    </row>
    <row r="10" spans="1:2" ht="17.100000000000001">
      <c r="A10" s="35" t="s">
        <v>571</v>
      </c>
      <c r="B10" s="36" t="s">
        <v>572</v>
      </c>
    </row>
    <row r="11" spans="1:2" ht="84.95">
      <c r="A11" s="35" t="s">
        <v>573</v>
      </c>
      <c r="B11" s="36" t="s">
        <v>574</v>
      </c>
    </row>
    <row r="12" spans="1:2" ht="68.099999999999994">
      <c r="A12" s="35" t="s">
        <v>575</v>
      </c>
      <c r="B12" s="36" t="s">
        <v>576</v>
      </c>
    </row>
    <row r="13" spans="1:2" ht="102">
      <c r="A13" s="35" t="s">
        <v>577</v>
      </c>
      <c r="B13" s="36" t="s">
        <v>578</v>
      </c>
    </row>
    <row r="14" spans="1:2" ht="33.950000000000003">
      <c r="A14" s="35" t="s">
        <v>579</v>
      </c>
      <c r="B14" s="36" t="s">
        <v>580</v>
      </c>
    </row>
    <row r="15" spans="1:2" ht="119.1">
      <c r="A15" s="35" t="s">
        <v>581</v>
      </c>
      <c r="B15" s="36" t="s">
        <v>582</v>
      </c>
    </row>
    <row r="16" spans="1:2" ht="33.950000000000003">
      <c r="A16" s="35" t="s">
        <v>583</v>
      </c>
      <c r="B16" s="36" t="s">
        <v>584</v>
      </c>
    </row>
    <row r="17" spans="1:2" ht="33.950000000000003">
      <c r="A17" s="35" t="s">
        <v>585</v>
      </c>
      <c r="B17" s="36" t="s">
        <v>586</v>
      </c>
    </row>
    <row r="18" spans="1:2" ht="51">
      <c r="A18" s="35" t="s">
        <v>587</v>
      </c>
      <c r="B18" s="36" t="s">
        <v>588</v>
      </c>
    </row>
    <row r="19" spans="1:2" ht="33.950000000000003">
      <c r="A19" s="35" t="s">
        <v>589</v>
      </c>
      <c r="B19" s="36" t="s">
        <v>590</v>
      </c>
    </row>
    <row r="20" spans="1:2" ht="51">
      <c r="A20" s="35" t="s">
        <v>591</v>
      </c>
      <c r="B20" s="36" t="s">
        <v>592</v>
      </c>
    </row>
    <row r="21" spans="1:2" ht="51">
      <c r="A21" s="35" t="s">
        <v>593</v>
      </c>
      <c r="B21" s="36" t="s">
        <v>594</v>
      </c>
    </row>
    <row r="22" spans="1:2" ht="33.950000000000003">
      <c r="A22" s="35" t="s">
        <v>595</v>
      </c>
      <c r="B22" s="36" t="s">
        <v>596</v>
      </c>
    </row>
    <row r="23" spans="1:2" ht="68.099999999999994">
      <c r="A23" s="35" t="s">
        <v>597</v>
      </c>
      <c r="B23" s="36" t="s">
        <v>598</v>
      </c>
    </row>
    <row r="24" spans="1:2" ht="33.950000000000003">
      <c r="A24" s="35" t="s">
        <v>599</v>
      </c>
      <c r="B24" s="36" t="s">
        <v>600</v>
      </c>
    </row>
    <row r="25" spans="1:2" ht="51">
      <c r="A25" s="35" t="s">
        <v>601</v>
      </c>
      <c r="B25" s="36" t="s">
        <v>602</v>
      </c>
    </row>
    <row r="26" spans="1:2" ht="51">
      <c r="A26" s="35" t="s">
        <v>603</v>
      </c>
      <c r="B26" s="36" t="s">
        <v>604</v>
      </c>
    </row>
    <row r="27" spans="1:2" ht="84.95">
      <c r="A27" s="35" t="s">
        <v>605</v>
      </c>
      <c r="B27" s="36" t="s">
        <v>606</v>
      </c>
    </row>
    <row r="28" spans="1:2" ht="68.099999999999994">
      <c r="A28" s="35" t="s">
        <v>607</v>
      </c>
      <c r="B28" s="36" t="s">
        <v>608</v>
      </c>
    </row>
    <row r="29" spans="1:2" ht="68.099999999999994">
      <c r="A29" s="35" t="s">
        <v>609</v>
      </c>
      <c r="B29" s="36" t="s">
        <v>610</v>
      </c>
    </row>
    <row r="30" spans="1:2" ht="84.95">
      <c r="A30" s="35" t="s">
        <v>611</v>
      </c>
      <c r="B30" s="36" t="s">
        <v>612</v>
      </c>
    </row>
    <row r="31" spans="1:2" ht="119.1">
      <c r="A31" s="35" t="s">
        <v>613</v>
      </c>
      <c r="B31" s="36" t="s">
        <v>614</v>
      </c>
    </row>
    <row r="32" spans="1:2" ht="68.099999999999994">
      <c r="A32" s="35" t="s">
        <v>615</v>
      </c>
      <c r="B32" s="36" t="s">
        <v>616</v>
      </c>
    </row>
    <row r="33" spans="1:2" ht="84.95">
      <c r="A33" s="35" t="s">
        <v>617</v>
      </c>
      <c r="B33" s="36" t="s">
        <v>618</v>
      </c>
    </row>
    <row r="34" spans="1:2" ht="84.95">
      <c r="A34" s="35" t="s">
        <v>619</v>
      </c>
      <c r="B34" s="36" t="s">
        <v>620</v>
      </c>
    </row>
    <row r="35" spans="1:2" ht="51">
      <c r="A35" s="35" t="s">
        <v>621</v>
      </c>
      <c r="B35" s="36" t="s">
        <v>622</v>
      </c>
    </row>
    <row r="36" spans="1:2" ht="68.099999999999994">
      <c r="A36" s="35" t="s">
        <v>623</v>
      </c>
      <c r="B36" s="36" t="s">
        <v>624</v>
      </c>
    </row>
    <row r="37" spans="1:2" ht="51">
      <c r="A37" s="35" t="s">
        <v>625</v>
      </c>
      <c r="B37" s="36" t="s">
        <v>626</v>
      </c>
    </row>
    <row r="38" spans="1:2" ht="68.099999999999994">
      <c r="A38" s="35" t="s">
        <v>627</v>
      </c>
      <c r="B38" s="36" t="s">
        <v>628</v>
      </c>
    </row>
    <row r="39" spans="1:2" ht="84.95">
      <c r="A39" s="35" t="s">
        <v>629</v>
      </c>
      <c r="B39" s="36" t="s">
        <v>630</v>
      </c>
    </row>
    <row r="40" spans="1:2" ht="84.95">
      <c r="A40" s="35" t="s">
        <v>631</v>
      </c>
      <c r="B40" s="36" t="s">
        <v>632</v>
      </c>
    </row>
    <row r="41" spans="1:2" ht="51">
      <c r="A41" s="35" t="s">
        <v>633</v>
      </c>
      <c r="B41" s="36" t="s">
        <v>634</v>
      </c>
    </row>
    <row r="42" spans="1:2" ht="51">
      <c r="A42" s="35" t="s">
        <v>635</v>
      </c>
      <c r="B42" s="36" t="s">
        <v>636</v>
      </c>
    </row>
    <row r="43" spans="1:2" ht="51">
      <c r="A43" s="35" t="s">
        <v>637</v>
      </c>
      <c r="B43" s="36" t="s">
        <v>638</v>
      </c>
    </row>
    <row r="44" spans="1:2" ht="68.099999999999994">
      <c r="A44" s="35" t="s">
        <v>639</v>
      </c>
      <c r="B44" s="36" t="s">
        <v>640</v>
      </c>
    </row>
    <row r="45" spans="1:2" ht="102">
      <c r="A45" s="35" t="s">
        <v>641</v>
      </c>
      <c r="B45" s="36" t="s">
        <v>642</v>
      </c>
    </row>
    <row r="46" spans="1:2" ht="51">
      <c r="A46" s="35" t="s">
        <v>643</v>
      </c>
      <c r="B46" s="36" t="s">
        <v>644</v>
      </c>
    </row>
    <row r="47" spans="1:2" ht="68.099999999999994">
      <c r="A47" s="35" t="s">
        <v>645</v>
      </c>
      <c r="B47" s="36" t="s">
        <v>646</v>
      </c>
    </row>
    <row r="48" spans="1:2" ht="51">
      <c r="A48" s="35" t="s">
        <v>647</v>
      </c>
      <c r="B48" s="36" t="s">
        <v>648</v>
      </c>
    </row>
    <row r="49" spans="1:2" ht="33.950000000000003">
      <c r="A49" s="35" t="s">
        <v>649</v>
      </c>
      <c r="B49" s="36" t="s">
        <v>650</v>
      </c>
    </row>
    <row r="50" spans="1:2" ht="33.950000000000003">
      <c r="A50" s="35" t="s">
        <v>651</v>
      </c>
      <c r="B50" s="36" t="s">
        <v>652</v>
      </c>
    </row>
    <row r="51" spans="1:2" ht="51">
      <c r="A51" s="35" t="s">
        <v>653</v>
      </c>
      <c r="B51" s="36" t="s">
        <v>654</v>
      </c>
    </row>
    <row r="52" spans="1:2" ht="33.950000000000003">
      <c r="A52" s="35" t="s">
        <v>655</v>
      </c>
      <c r="B52" s="36" t="s">
        <v>656</v>
      </c>
    </row>
    <row r="53" spans="1:2" ht="84.95">
      <c r="A53" s="35" t="s">
        <v>657</v>
      </c>
      <c r="B53" s="36" t="s">
        <v>658</v>
      </c>
    </row>
    <row r="54" spans="1:2" ht="68.099999999999994">
      <c r="A54" s="35" t="s">
        <v>659</v>
      </c>
      <c r="B54" s="36" t="s">
        <v>660</v>
      </c>
    </row>
    <row r="55" spans="1:2" ht="51">
      <c r="A55" s="35" t="s">
        <v>661</v>
      </c>
      <c r="B55" s="36" t="s">
        <v>662</v>
      </c>
    </row>
    <row r="56" spans="1:2" ht="68.099999999999994">
      <c r="A56" s="35" t="s">
        <v>663</v>
      </c>
      <c r="B56" s="36" t="s">
        <v>664</v>
      </c>
    </row>
    <row r="57" spans="1:2" ht="84.95">
      <c r="A57" s="35" t="s">
        <v>665</v>
      </c>
      <c r="B57" s="36" t="s">
        <v>666</v>
      </c>
    </row>
    <row r="58" spans="1:2" ht="51">
      <c r="A58" s="35" t="s">
        <v>667</v>
      </c>
      <c r="B58" s="36" t="s">
        <v>668</v>
      </c>
    </row>
    <row r="59" spans="1:2" ht="51">
      <c r="A59" s="35" t="s">
        <v>669</v>
      </c>
      <c r="B59" s="36" t="s">
        <v>670</v>
      </c>
    </row>
    <row r="60" spans="1:2" ht="153">
      <c r="A60" s="35" t="s">
        <v>671</v>
      </c>
      <c r="B60" s="36" t="s">
        <v>672</v>
      </c>
    </row>
    <row r="61" spans="1:2" ht="51">
      <c r="A61" s="35" t="s">
        <v>673</v>
      </c>
      <c r="B61" s="36" t="s">
        <v>674</v>
      </c>
    </row>
    <row r="62" spans="1:2" ht="33.950000000000003">
      <c r="A62" s="35" t="s">
        <v>675</v>
      </c>
      <c r="B62" s="36" t="s">
        <v>676</v>
      </c>
    </row>
    <row r="63" spans="1:2" ht="33.950000000000003">
      <c r="A63" s="35" t="s">
        <v>677</v>
      </c>
      <c r="B63" s="36" t="s">
        <v>678</v>
      </c>
    </row>
    <row r="64" spans="1:2" ht="51">
      <c r="A64" s="35" t="s">
        <v>679</v>
      </c>
      <c r="B64" s="36" t="s">
        <v>680</v>
      </c>
    </row>
    <row r="65" spans="1:2" ht="68.099999999999994">
      <c r="A65" s="35" t="s">
        <v>681</v>
      </c>
      <c r="B65" s="36" t="s">
        <v>682</v>
      </c>
    </row>
    <row r="66" spans="1:2" ht="51">
      <c r="A66" s="35" t="s">
        <v>683</v>
      </c>
      <c r="B66" s="36" t="s">
        <v>684</v>
      </c>
    </row>
    <row r="67" spans="1:2" ht="84.95">
      <c r="A67" s="35" t="s">
        <v>685</v>
      </c>
      <c r="B67" s="36" t="s">
        <v>686</v>
      </c>
    </row>
    <row r="68" spans="1:2" ht="84.95">
      <c r="A68" s="35" t="s">
        <v>687</v>
      </c>
      <c r="B68" s="36" t="s">
        <v>688</v>
      </c>
    </row>
    <row r="69" spans="1:2" ht="68.099999999999994">
      <c r="A69" s="35" t="s">
        <v>689</v>
      </c>
      <c r="B69" s="36" t="s">
        <v>690</v>
      </c>
    </row>
    <row r="70" spans="1:2" ht="68.099999999999994">
      <c r="A70" s="35" t="s">
        <v>691</v>
      </c>
      <c r="B70" s="36" t="s">
        <v>692</v>
      </c>
    </row>
    <row r="71" spans="1:2" ht="33.950000000000003">
      <c r="A71" s="35" t="s">
        <v>693</v>
      </c>
      <c r="B71" s="36" t="s">
        <v>694</v>
      </c>
    </row>
    <row r="72" spans="1:2" ht="51">
      <c r="A72" s="35" t="s">
        <v>695</v>
      </c>
      <c r="B72" s="36" t="s">
        <v>696</v>
      </c>
    </row>
    <row r="73" spans="1:2" ht="51">
      <c r="A73" s="35" t="s">
        <v>697</v>
      </c>
      <c r="B73" s="36" t="s">
        <v>698</v>
      </c>
    </row>
    <row r="74" spans="1:2" ht="102">
      <c r="A74" s="35" t="s">
        <v>699</v>
      </c>
      <c r="B74" s="36" t="s">
        <v>700</v>
      </c>
    </row>
    <row r="75" spans="1:2" ht="68.099999999999994">
      <c r="A75" s="35" t="s">
        <v>701</v>
      </c>
      <c r="B75" s="36" t="s">
        <v>702</v>
      </c>
    </row>
    <row r="76" spans="1:2" ht="33.950000000000003">
      <c r="A76" s="35" t="s">
        <v>703</v>
      </c>
      <c r="B76" s="36" t="s">
        <v>704</v>
      </c>
    </row>
    <row r="77" spans="1:2" ht="84.95">
      <c r="A77" s="35" t="s">
        <v>705</v>
      </c>
      <c r="B77" s="36" t="s">
        <v>706</v>
      </c>
    </row>
    <row r="78" spans="1:2" ht="135.94999999999999">
      <c r="A78" s="35" t="s">
        <v>707</v>
      </c>
      <c r="B78" s="36" t="s">
        <v>708</v>
      </c>
    </row>
    <row r="79" spans="1:2" ht="84.95">
      <c r="A79" s="35" t="s">
        <v>709</v>
      </c>
      <c r="B79" s="36" t="s">
        <v>710</v>
      </c>
    </row>
    <row r="80" spans="1:2" ht="84.95">
      <c r="A80" s="35" t="s">
        <v>711</v>
      </c>
      <c r="B80" s="36" t="s">
        <v>712</v>
      </c>
    </row>
    <row r="81" spans="1:2" ht="51">
      <c r="A81" s="35" t="s">
        <v>713</v>
      </c>
      <c r="B81" s="36" t="s">
        <v>714</v>
      </c>
    </row>
    <row r="82" spans="1:2" ht="84.95">
      <c r="A82" s="35" t="s">
        <v>715</v>
      </c>
      <c r="B82" s="36" t="s">
        <v>716</v>
      </c>
    </row>
    <row r="83" spans="1:2" ht="119.1">
      <c r="A83" s="35" t="s">
        <v>717</v>
      </c>
      <c r="B83" s="36" t="s">
        <v>718</v>
      </c>
    </row>
    <row r="84" spans="1:2" ht="84.95">
      <c r="A84" s="35" t="s">
        <v>719</v>
      </c>
      <c r="B84" s="36" t="s">
        <v>720</v>
      </c>
    </row>
    <row r="85" spans="1:2" ht="84.95">
      <c r="A85" s="35" t="s">
        <v>721</v>
      </c>
      <c r="B85" s="36" t="s">
        <v>722</v>
      </c>
    </row>
    <row r="86" spans="1:2" ht="84.95">
      <c r="A86" s="35" t="s">
        <v>723</v>
      </c>
      <c r="B86" s="36" t="s">
        <v>724</v>
      </c>
    </row>
    <row r="87" spans="1:2" ht="68.099999999999994">
      <c r="A87" s="35" t="s">
        <v>725</v>
      </c>
      <c r="B87" s="36" t="s">
        <v>726</v>
      </c>
    </row>
    <row r="88" spans="1:2" ht="51">
      <c r="A88" s="35" t="s">
        <v>727</v>
      </c>
      <c r="B88" s="36" t="s">
        <v>728</v>
      </c>
    </row>
    <row r="89" spans="1:2" ht="51">
      <c r="A89" s="35" t="s">
        <v>729</v>
      </c>
      <c r="B89" s="36" t="s">
        <v>730</v>
      </c>
    </row>
    <row r="90" spans="1:2" ht="33.950000000000003">
      <c r="A90" s="35" t="s">
        <v>731</v>
      </c>
      <c r="B90" s="36" t="s">
        <v>732</v>
      </c>
    </row>
    <row r="91" spans="1:2" ht="102">
      <c r="A91" s="35" t="s">
        <v>733</v>
      </c>
      <c r="B91" s="36" t="s">
        <v>734</v>
      </c>
    </row>
    <row r="92" spans="1:2" ht="102">
      <c r="A92" s="35" t="s">
        <v>735</v>
      </c>
      <c r="B92" s="36" t="s">
        <v>736</v>
      </c>
    </row>
    <row r="93" spans="1:2" ht="119.1">
      <c r="A93" s="35" t="s">
        <v>737</v>
      </c>
      <c r="B93" s="36" t="s">
        <v>738</v>
      </c>
    </row>
    <row r="94" spans="1:2" ht="68.099999999999994">
      <c r="A94" s="35" t="s">
        <v>739</v>
      </c>
      <c r="B94" s="36" t="s">
        <v>740</v>
      </c>
    </row>
    <row r="95" spans="1:2" ht="68.099999999999994">
      <c r="A95" s="35" t="s">
        <v>741</v>
      </c>
      <c r="B95" s="36" t="s">
        <v>742</v>
      </c>
    </row>
    <row r="96" spans="1:2" ht="68.099999999999994">
      <c r="A96" s="35" t="s">
        <v>743</v>
      </c>
      <c r="B96" s="36" t="s">
        <v>744</v>
      </c>
    </row>
    <row r="97" spans="1:2" ht="68.099999999999994">
      <c r="A97" s="35" t="s">
        <v>745</v>
      </c>
      <c r="B97" s="36" t="s">
        <v>746</v>
      </c>
    </row>
    <row r="98" spans="1:2" ht="84.95">
      <c r="A98" s="35" t="s">
        <v>747</v>
      </c>
      <c r="B98" s="36" t="s">
        <v>748</v>
      </c>
    </row>
    <row r="99" spans="1:2" ht="119.1">
      <c r="A99" s="35" t="s">
        <v>749</v>
      </c>
      <c r="B99" s="36" t="s">
        <v>750</v>
      </c>
    </row>
    <row r="100" spans="1:2" ht="84.95">
      <c r="A100" s="35" t="s">
        <v>751</v>
      </c>
      <c r="B100" s="36" t="s">
        <v>752</v>
      </c>
    </row>
    <row r="101" spans="1:2" ht="84.95">
      <c r="A101" s="35" t="s">
        <v>753</v>
      </c>
      <c r="B101" s="36" t="s">
        <v>754</v>
      </c>
    </row>
    <row r="102" spans="1:2" ht="51">
      <c r="A102" s="35" t="s">
        <v>755</v>
      </c>
      <c r="B102" s="36" t="s">
        <v>756</v>
      </c>
    </row>
    <row r="103" spans="1:2" ht="68.099999999999994">
      <c r="A103" s="35" t="s">
        <v>757</v>
      </c>
      <c r="B103" s="36" t="s">
        <v>758</v>
      </c>
    </row>
    <row r="104" spans="1:2" ht="84.95">
      <c r="A104" s="35" t="s">
        <v>759</v>
      </c>
      <c r="B104" s="36" t="s">
        <v>760</v>
      </c>
    </row>
    <row r="105" spans="1:2" ht="102">
      <c r="A105" s="35" t="s">
        <v>761</v>
      </c>
      <c r="B105" s="36" t="s">
        <v>762</v>
      </c>
    </row>
    <row r="106" spans="1:2" ht="84.95">
      <c r="A106" s="35" t="s">
        <v>763</v>
      </c>
      <c r="B106" s="36" t="s">
        <v>764</v>
      </c>
    </row>
    <row r="107" spans="1:2" ht="135.94999999999999">
      <c r="A107" s="35" t="s">
        <v>765</v>
      </c>
      <c r="B107" s="36" t="s">
        <v>766</v>
      </c>
    </row>
    <row r="108" spans="1:2" ht="51">
      <c r="A108" s="35" t="s">
        <v>767</v>
      </c>
      <c r="B108" s="36" t="s">
        <v>768</v>
      </c>
    </row>
    <row r="109" spans="1:2" ht="33.950000000000003">
      <c r="A109" s="35" t="s">
        <v>769</v>
      </c>
      <c r="B109" s="36" t="s">
        <v>770</v>
      </c>
    </row>
    <row r="110" spans="1:2" ht="119.1">
      <c r="A110" s="35" t="s">
        <v>771</v>
      </c>
      <c r="B110" s="36" t="s">
        <v>772</v>
      </c>
    </row>
    <row r="111" spans="1:2" ht="84.95">
      <c r="A111" s="35" t="s">
        <v>773</v>
      </c>
      <c r="B111" s="36" t="s">
        <v>774</v>
      </c>
    </row>
    <row r="112" spans="1:2" ht="84.95">
      <c r="A112" s="35" t="s">
        <v>775</v>
      </c>
      <c r="B112" s="36" t="s">
        <v>776</v>
      </c>
    </row>
    <row r="113" spans="1:2" ht="102">
      <c r="A113" s="35" t="s">
        <v>777</v>
      </c>
      <c r="B113" s="36" t="s">
        <v>778</v>
      </c>
    </row>
    <row r="114" spans="1:2" ht="51">
      <c r="A114" s="35" t="s">
        <v>779</v>
      </c>
      <c r="B114" s="36" t="s">
        <v>780</v>
      </c>
    </row>
    <row r="115" spans="1:2" ht="30">
      <c r="A115" s="212" t="s">
        <v>781</v>
      </c>
      <c r="B115" s="213" t="s">
        <v>782</v>
      </c>
    </row>
    <row r="116" spans="1:2" ht="33.950000000000003">
      <c r="A116" s="33" t="s">
        <v>783</v>
      </c>
      <c r="B116" s="213" t="s">
        <v>784</v>
      </c>
    </row>
    <row r="117" spans="1:2" ht="45">
      <c r="A117" s="214" t="s">
        <v>785</v>
      </c>
      <c r="B117" s="213" t="s">
        <v>786</v>
      </c>
    </row>
    <row r="118" spans="1:2" ht="60">
      <c r="A118" s="214" t="s">
        <v>787</v>
      </c>
      <c r="B118" s="213" t="s">
        <v>788</v>
      </c>
    </row>
    <row r="119" spans="1:2" ht="17.100000000000001">
      <c r="A119" s="34" t="s">
        <v>789</v>
      </c>
      <c r="B119" s="38" t="s">
        <v>790</v>
      </c>
    </row>
    <row r="120" spans="1:2" ht="17.100000000000001">
      <c r="A120" s="34" t="s">
        <v>791</v>
      </c>
      <c r="B120" s="38" t="s">
        <v>792</v>
      </c>
    </row>
    <row r="121" spans="1:2" ht="17.100000000000001">
      <c r="A121" s="34" t="s">
        <v>793</v>
      </c>
      <c r="B121" s="37" t="s">
        <v>794</v>
      </c>
    </row>
    <row r="122" spans="1:2" ht="17.100000000000001">
      <c r="A122" s="34" t="s">
        <v>795</v>
      </c>
      <c r="B122" s="37" t="s">
        <v>796</v>
      </c>
    </row>
    <row r="123" spans="1:2" ht="17.100000000000001">
      <c r="A123" s="34" t="s">
        <v>797</v>
      </c>
      <c r="B123" s="38" t="s">
        <v>798</v>
      </c>
    </row>
    <row r="124" spans="1:2" ht="17.100000000000001">
      <c r="A124" s="34" t="s">
        <v>799</v>
      </c>
      <c r="B124" s="38" t="s">
        <v>800</v>
      </c>
    </row>
    <row r="125" spans="1:2" ht="17.100000000000001">
      <c r="A125" s="34" t="s">
        <v>801</v>
      </c>
      <c r="B125" s="37" t="s">
        <v>802</v>
      </c>
    </row>
    <row r="126" spans="1:2" ht="17.100000000000001">
      <c r="A126" s="34" t="s">
        <v>803</v>
      </c>
      <c r="B126" s="38" t="s">
        <v>804</v>
      </c>
    </row>
    <row r="127" spans="1:2" ht="17.100000000000001">
      <c r="A127" s="34" t="s">
        <v>805</v>
      </c>
      <c r="B127" s="37" t="s">
        <v>806</v>
      </c>
    </row>
    <row r="128" spans="1:2" ht="17.100000000000001">
      <c r="A128" s="34" t="s">
        <v>807</v>
      </c>
      <c r="B128" s="37" t="s">
        <v>808</v>
      </c>
    </row>
    <row r="129" spans="1:2" ht="17.100000000000001">
      <c r="A129" s="34" t="s">
        <v>809</v>
      </c>
      <c r="B129" s="38" t="s">
        <v>810</v>
      </c>
    </row>
    <row r="130" spans="1:2" ht="17.100000000000001">
      <c r="A130" s="34" t="s">
        <v>811</v>
      </c>
      <c r="B130" s="38" t="s">
        <v>812</v>
      </c>
    </row>
    <row r="131" spans="1:2" ht="17.100000000000001">
      <c r="A131" s="34" t="s">
        <v>813</v>
      </c>
      <c r="B131" s="38" t="s">
        <v>814</v>
      </c>
    </row>
    <row r="132" spans="1:2" ht="17.100000000000001">
      <c r="A132" s="34" t="s">
        <v>815</v>
      </c>
      <c r="B132" s="38" t="s">
        <v>816</v>
      </c>
    </row>
    <row r="133" spans="1:2" ht="17.100000000000001">
      <c r="A133" s="34" t="s">
        <v>817</v>
      </c>
      <c r="B133" s="37" t="s">
        <v>818</v>
      </c>
    </row>
    <row r="134" spans="1:2" ht="17.100000000000001">
      <c r="A134" s="34" t="s">
        <v>819</v>
      </c>
      <c r="B134" s="38" t="s">
        <v>820</v>
      </c>
    </row>
    <row r="135" spans="1:2" ht="17.100000000000001">
      <c r="A135" s="34" t="s">
        <v>821</v>
      </c>
      <c r="B135" s="38" t="s">
        <v>822</v>
      </c>
    </row>
    <row r="136" spans="1:2" ht="17.100000000000001">
      <c r="A136" s="34" t="s">
        <v>823</v>
      </c>
      <c r="B136" s="38" t="s">
        <v>824</v>
      </c>
    </row>
    <row r="137" spans="1:2" ht="17.100000000000001">
      <c r="A137" s="34" t="s">
        <v>825</v>
      </c>
      <c r="B137" s="38" t="s">
        <v>826</v>
      </c>
    </row>
    <row r="138" spans="1:2" ht="17.100000000000001">
      <c r="A138" s="34" t="s">
        <v>827</v>
      </c>
      <c r="B138" s="38" t="s">
        <v>828</v>
      </c>
    </row>
    <row r="139" spans="1:2">
      <c r="A139" s="39" t="s">
        <v>829</v>
      </c>
      <c r="B139" s="39" t="s">
        <v>830</v>
      </c>
    </row>
    <row r="140" spans="1:2">
      <c r="A140" s="39" t="s">
        <v>831</v>
      </c>
      <c r="B140" s="39" t="s">
        <v>832</v>
      </c>
    </row>
    <row r="141" spans="1:2">
      <c r="A141" s="39" t="s">
        <v>833</v>
      </c>
      <c r="B141" s="39" t="s">
        <v>834</v>
      </c>
    </row>
    <row r="142" spans="1:2">
      <c r="A142" s="39" t="s">
        <v>835</v>
      </c>
      <c r="B142" s="39" t="s">
        <v>836</v>
      </c>
    </row>
    <row r="143" spans="1:2">
      <c r="A143" s="39" t="s">
        <v>837</v>
      </c>
      <c r="B143" s="39" t="s">
        <v>838</v>
      </c>
    </row>
    <row r="144" spans="1:2">
      <c r="A144" s="39" t="s">
        <v>839</v>
      </c>
      <c r="B144" s="39" t="s">
        <v>840</v>
      </c>
    </row>
    <row r="145" spans="1:2">
      <c r="A145" s="39" t="s">
        <v>841</v>
      </c>
      <c r="B145" s="39" t="s">
        <v>842</v>
      </c>
    </row>
    <row r="146" spans="1:2">
      <c r="A146" s="39" t="s">
        <v>843</v>
      </c>
      <c r="B146" s="39" t="s">
        <v>844</v>
      </c>
    </row>
    <row r="147" spans="1:2">
      <c r="A147" s="39" t="s">
        <v>845</v>
      </c>
      <c r="B147" s="39" t="s">
        <v>846</v>
      </c>
    </row>
    <row r="148" spans="1:2">
      <c r="A148" s="39" t="s">
        <v>847</v>
      </c>
      <c r="B148" s="39" t="s">
        <v>848</v>
      </c>
    </row>
    <row r="149" spans="1:2">
      <c r="A149" s="39" t="s">
        <v>849</v>
      </c>
      <c r="B149" s="39" t="s">
        <v>850</v>
      </c>
    </row>
    <row r="150" spans="1:2">
      <c r="A150" s="39" t="s">
        <v>851</v>
      </c>
      <c r="B150" s="39" t="s">
        <v>852</v>
      </c>
    </row>
    <row r="151" spans="1:2">
      <c r="A151" s="39" t="s">
        <v>853</v>
      </c>
      <c r="B151" s="39" t="s">
        <v>854</v>
      </c>
    </row>
    <row r="152" spans="1:2">
      <c r="A152" s="39" t="s">
        <v>855</v>
      </c>
      <c r="B152" s="39" t="s">
        <v>856</v>
      </c>
    </row>
    <row r="153" spans="1:2">
      <c r="A153" s="39" t="s">
        <v>857</v>
      </c>
      <c r="B153" s="39" t="s">
        <v>858</v>
      </c>
    </row>
    <row r="154" spans="1:2">
      <c r="A154" s="39" t="s">
        <v>859</v>
      </c>
      <c r="B154" s="39" t="s">
        <v>860</v>
      </c>
    </row>
    <row r="155" spans="1:2">
      <c r="A155" s="39" t="s">
        <v>861</v>
      </c>
      <c r="B155" s="39" t="s">
        <v>862</v>
      </c>
    </row>
    <row r="156" spans="1:2">
      <c r="A156" s="39" t="s">
        <v>863</v>
      </c>
      <c r="B156" s="39" t="s">
        <v>864</v>
      </c>
    </row>
    <row r="157" spans="1:2">
      <c r="A157" s="39" t="s">
        <v>865</v>
      </c>
      <c r="B157" s="39" t="s">
        <v>866</v>
      </c>
    </row>
    <row r="158" spans="1:2">
      <c r="A158" s="39" t="s">
        <v>867</v>
      </c>
      <c r="B158" s="39" t="s">
        <v>868</v>
      </c>
    </row>
    <row r="159" spans="1:2">
      <c r="A159" s="39" t="s">
        <v>869</v>
      </c>
      <c r="B159" s="39" t="s">
        <v>870</v>
      </c>
    </row>
    <row r="160" spans="1:2">
      <c r="A160" s="39" t="s">
        <v>871</v>
      </c>
      <c r="B160" s="39" t="s">
        <v>872</v>
      </c>
    </row>
    <row r="161" spans="1:2">
      <c r="A161" s="39" t="s">
        <v>873</v>
      </c>
      <c r="B161" s="39" t="s">
        <v>874</v>
      </c>
    </row>
    <row r="162" spans="1:2">
      <c r="A162" s="39" t="s">
        <v>875</v>
      </c>
      <c r="B162" s="39" t="s">
        <v>876</v>
      </c>
    </row>
    <row r="163" spans="1:2">
      <c r="A163" s="39" t="s">
        <v>877</v>
      </c>
      <c r="B163" s="39" t="s">
        <v>878</v>
      </c>
    </row>
    <row r="164" spans="1:2">
      <c r="A164" s="39" t="s">
        <v>879</v>
      </c>
      <c r="B164" s="39" t="s">
        <v>880</v>
      </c>
    </row>
    <row r="165" spans="1:2">
      <c r="A165" s="39" t="s">
        <v>881</v>
      </c>
      <c r="B165" s="39" t="s">
        <v>882</v>
      </c>
    </row>
    <row r="166" spans="1:2">
      <c r="A166" s="39" t="s">
        <v>883</v>
      </c>
      <c r="B166" s="39" t="s">
        <v>884</v>
      </c>
    </row>
    <row r="167" spans="1:2">
      <c r="A167" s="39" t="s">
        <v>885</v>
      </c>
      <c r="B167" s="39" t="s">
        <v>886</v>
      </c>
    </row>
    <row r="168" spans="1:2">
      <c r="A168" s="39" t="s">
        <v>887</v>
      </c>
      <c r="B168" s="39" t="s">
        <v>888</v>
      </c>
    </row>
    <row r="169" spans="1:2">
      <c r="A169" s="39" t="s">
        <v>889</v>
      </c>
      <c r="B169" s="39" t="s">
        <v>890</v>
      </c>
    </row>
    <row r="170" spans="1:2">
      <c r="A170" s="39" t="s">
        <v>891</v>
      </c>
      <c r="B170" s="39" t="s">
        <v>892</v>
      </c>
    </row>
    <row r="171" spans="1:2">
      <c r="A171" s="39" t="s">
        <v>893</v>
      </c>
      <c r="B171" s="39" t="s">
        <v>894</v>
      </c>
    </row>
    <row r="172" spans="1:2">
      <c r="A172" s="39" t="s">
        <v>895</v>
      </c>
      <c r="B172" s="39" t="s">
        <v>896</v>
      </c>
    </row>
    <row r="173" spans="1:2">
      <c r="A173" s="39" t="s">
        <v>897</v>
      </c>
      <c r="B173" s="39" t="s">
        <v>898</v>
      </c>
    </row>
    <row r="174" spans="1:2">
      <c r="A174" s="39" t="s">
        <v>899</v>
      </c>
      <c r="B174" s="39" t="s">
        <v>900</v>
      </c>
    </row>
    <row r="175" spans="1:2">
      <c r="A175" s="39" t="s">
        <v>901</v>
      </c>
      <c r="B175" s="39" t="s">
        <v>902</v>
      </c>
    </row>
    <row r="176" spans="1:2">
      <c r="A176" s="39" t="s">
        <v>903</v>
      </c>
      <c r="B176" s="39" t="s">
        <v>904</v>
      </c>
    </row>
    <row r="177" spans="1:2">
      <c r="A177" s="39" t="s">
        <v>905</v>
      </c>
      <c r="B177" s="39" t="s">
        <v>906</v>
      </c>
    </row>
    <row r="178" spans="1:2">
      <c r="A178" s="39" t="s">
        <v>907</v>
      </c>
      <c r="B178" s="39" t="s">
        <v>908</v>
      </c>
    </row>
    <row r="179" spans="1:2">
      <c r="A179" s="39" t="s">
        <v>909</v>
      </c>
      <c r="B179" s="39" t="s">
        <v>910</v>
      </c>
    </row>
    <row r="180" spans="1:2">
      <c r="A180" s="39" t="s">
        <v>911</v>
      </c>
      <c r="B180" s="39" t="s">
        <v>912</v>
      </c>
    </row>
    <row r="181" spans="1:2">
      <c r="A181" s="39" t="s">
        <v>913</v>
      </c>
      <c r="B181" s="39" t="s">
        <v>914</v>
      </c>
    </row>
    <row r="182" spans="1:2">
      <c r="A182" s="39" t="s">
        <v>915</v>
      </c>
      <c r="B182" s="39" t="s">
        <v>916</v>
      </c>
    </row>
    <row r="183" spans="1:2">
      <c r="A183" s="39" t="s">
        <v>917</v>
      </c>
      <c r="B183" s="39" t="s">
        <v>918</v>
      </c>
    </row>
    <row r="184" spans="1:2">
      <c r="A184" s="39" t="s">
        <v>919</v>
      </c>
      <c r="B184" s="39" t="s">
        <v>920</v>
      </c>
    </row>
    <row r="185" spans="1:2">
      <c r="A185" s="39" t="s">
        <v>921</v>
      </c>
      <c r="B185" s="39" t="s">
        <v>922</v>
      </c>
    </row>
    <row r="186" spans="1:2">
      <c r="A186" s="39" t="s">
        <v>923</v>
      </c>
      <c r="B186" s="39" t="s">
        <v>924</v>
      </c>
    </row>
    <row r="187" spans="1:2">
      <c r="A187" s="39" t="s">
        <v>925</v>
      </c>
      <c r="B187" s="39" t="s">
        <v>926</v>
      </c>
    </row>
    <row r="188" spans="1:2">
      <c r="A188" s="39" t="s">
        <v>927</v>
      </c>
      <c r="B188" s="39" t="s">
        <v>928</v>
      </c>
    </row>
    <row r="189" spans="1:2">
      <c r="A189" s="39" t="s">
        <v>929</v>
      </c>
      <c r="B189" s="39" t="s">
        <v>930</v>
      </c>
    </row>
    <row r="190" spans="1:2">
      <c r="A190" s="39" t="s">
        <v>931</v>
      </c>
      <c r="B190" s="39" t="s">
        <v>932</v>
      </c>
    </row>
    <row r="191" spans="1:2">
      <c r="A191" s="39" t="s">
        <v>933</v>
      </c>
      <c r="B191" s="39" t="s">
        <v>934</v>
      </c>
    </row>
    <row r="192" spans="1:2">
      <c r="A192" s="39" t="s">
        <v>935</v>
      </c>
      <c r="B192" s="39" t="s">
        <v>936</v>
      </c>
    </row>
    <row r="193" spans="1:2">
      <c r="A193" s="39" t="s">
        <v>937</v>
      </c>
      <c r="B193" s="39" t="s">
        <v>938</v>
      </c>
    </row>
    <row r="194" spans="1:2">
      <c r="A194" s="39" t="s">
        <v>939</v>
      </c>
      <c r="B194" s="39" t="s">
        <v>940</v>
      </c>
    </row>
    <row r="195" spans="1:2">
      <c r="A195" s="39" t="s">
        <v>941</v>
      </c>
      <c r="B195" s="39" t="s">
        <v>942</v>
      </c>
    </row>
    <row r="196" spans="1:2">
      <c r="A196" s="39" t="s">
        <v>943</v>
      </c>
      <c r="B196" s="39" t="s">
        <v>944</v>
      </c>
    </row>
    <row r="197" spans="1:2">
      <c r="A197" s="39" t="s">
        <v>945</v>
      </c>
      <c r="B197" s="39" t="s">
        <v>946</v>
      </c>
    </row>
    <row r="198" spans="1:2">
      <c r="A198" s="39" t="s">
        <v>947</v>
      </c>
      <c r="B198" s="39" t="s">
        <v>948</v>
      </c>
    </row>
    <row r="199" spans="1:2">
      <c r="A199" s="39" t="s">
        <v>949</v>
      </c>
      <c r="B199" s="39" t="s">
        <v>950</v>
      </c>
    </row>
    <row r="200" spans="1:2">
      <c r="A200" s="39" t="s">
        <v>951</v>
      </c>
      <c r="B200" s="39" t="s">
        <v>952</v>
      </c>
    </row>
    <row r="201" spans="1:2">
      <c r="A201" s="39" t="s">
        <v>953</v>
      </c>
      <c r="B201" s="39" t="s">
        <v>954</v>
      </c>
    </row>
    <row r="202" spans="1:2">
      <c r="A202" s="39" t="s">
        <v>955</v>
      </c>
      <c r="B202" s="39" t="s">
        <v>956</v>
      </c>
    </row>
    <row r="203" spans="1:2">
      <c r="A203" s="39" t="s">
        <v>957</v>
      </c>
      <c r="B203" s="39" t="s">
        <v>958</v>
      </c>
    </row>
    <row r="204" spans="1:2">
      <c r="A204" s="39" t="s">
        <v>959</v>
      </c>
      <c r="B204" s="39" t="s">
        <v>960</v>
      </c>
    </row>
    <row r="205" spans="1:2">
      <c r="A205" s="39" t="s">
        <v>961</v>
      </c>
      <c r="B205" s="39" t="s">
        <v>962</v>
      </c>
    </row>
    <row r="206" spans="1:2">
      <c r="A206" s="39" t="s">
        <v>963</v>
      </c>
      <c r="B206" s="39" t="s">
        <v>964</v>
      </c>
    </row>
    <row r="207" spans="1:2">
      <c r="A207" s="39" t="s">
        <v>965</v>
      </c>
      <c r="B207" s="39" t="s">
        <v>966</v>
      </c>
    </row>
    <row r="208" spans="1:2">
      <c r="A208" s="39" t="s">
        <v>967</v>
      </c>
      <c r="B208" s="39" t="s">
        <v>968</v>
      </c>
    </row>
    <row r="209" spans="1:2">
      <c r="A209" s="39" t="s">
        <v>969</v>
      </c>
      <c r="B209" s="39" t="s">
        <v>970</v>
      </c>
    </row>
    <row r="210" spans="1:2">
      <c r="A210" s="39" t="s">
        <v>971</v>
      </c>
      <c r="B210" s="39" t="s">
        <v>972</v>
      </c>
    </row>
    <row r="211" spans="1:2">
      <c r="A211" s="39" t="s">
        <v>973</v>
      </c>
      <c r="B211" s="39" t="s">
        <v>974</v>
      </c>
    </row>
    <row r="212" spans="1:2">
      <c r="A212" s="39" t="s">
        <v>975</v>
      </c>
      <c r="B212" s="39" t="s">
        <v>976</v>
      </c>
    </row>
    <row r="213" spans="1:2">
      <c r="A213" s="39" t="s">
        <v>977</v>
      </c>
      <c r="B213" s="39" t="s">
        <v>978</v>
      </c>
    </row>
    <row r="214" spans="1:2">
      <c r="A214" s="39" t="s">
        <v>979</v>
      </c>
      <c r="B214" s="39" t="s">
        <v>980</v>
      </c>
    </row>
    <row r="215" spans="1:2">
      <c r="A215" s="39" t="s">
        <v>981</v>
      </c>
      <c r="B215" s="39" t="s">
        <v>982</v>
      </c>
    </row>
    <row r="216" spans="1:2">
      <c r="A216" s="39" t="s">
        <v>983</v>
      </c>
      <c r="B216" s="39" t="s">
        <v>984</v>
      </c>
    </row>
    <row r="217" spans="1:2">
      <c r="A217" s="39" t="s">
        <v>985</v>
      </c>
      <c r="B217" s="39" t="s">
        <v>986</v>
      </c>
    </row>
    <row r="218" spans="1:2">
      <c r="A218" s="39" t="s">
        <v>987</v>
      </c>
      <c r="B218" s="39" t="s">
        <v>988</v>
      </c>
    </row>
    <row r="219" spans="1:2">
      <c r="A219" s="39" t="s">
        <v>989</v>
      </c>
      <c r="B219" s="39" t="s">
        <v>990</v>
      </c>
    </row>
    <row r="220" spans="1:2">
      <c r="A220" s="39" t="s">
        <v>991</v>
      </c>
      <c r="B220" s="39" t="s">
        <v>992</v>
      </c>
    </row>
    <row r="221" spans="1:2">
      <c r="A221" s="39" t="s">
        <v>993</v>
      </c>
      <c r="B221" s="39" t="s">
        <v>994</v>
      </c>
    </row>
    <row r="222" spans="1:2">
      <c r="A222" s="39" t="s">
        <v>995</v>
      </c>
      <c r="B222" s="39" t="s">
        <v>996</v>
      </c>
    </row>
    <row r="223" spans="1:2">
      <c r="A223" s="39" t="s">
        <v>997</v>
      </c>
      <c r="B223" s="39" t="s">
        <v>998</v>
      </c>
    </row>
    <row r="224" spans="1:2">
      <c r="A224" s="39" t="s">
        <v>999</v>
      </c>
      <c r="B224" s="39" t="s">
        <v>1000</v>
      </c>
    </row>
    <row r="225" spans="1:2">
      <c r="A225" s="39" t="s">
        <v>1001</v>
      </c>
      <c r="B225" s="39" t="s">
        <v>1002</v>
      </c>
    </row>
    <row r="226" spans="1:2">
      <c r="A226" s="39" t="s">
        <v>1003</v>
      </c>
      <c r="B226" s="39" t="s">
        <v>1004</v>
      </c>
    </row>
    <row r="227" spans="1:2">
      <c r="A227" s="39" t="s">
        <v>1005</v>
      </c>
      <c r="B227" s="39" t="s">
        <v>1006</v>
      </c>
    </row>
    <row r="228" spans="1:2">
      <c r="A228" s="39" t="s">
        <v>1007</v>
      </c>
      <c r="B228" s="39" t="s">
        <v>1008</v>
      </c>
    </row>
    <row r="229" spans="1:2">
      <c r="A229" s="39" t="s">
        <v>1009</v>
      </c>
      <c r="B229" s="39" t="s">
        <v>1010</v>
      </c>
    </row>
    <row r="230" spans="1:2">
      <c r="A230" s="39" t="s">
        <v>1011</v>
      </c>
      <c r="B230" s="39" t="s">
        <v>1012</v>
      </c>
    </row>
    <row r="231" spans="1:2">
      <c r="A231" s="39" t="s">
        <v>1013</v>
      </c>
      <c r="B231" s="39" t="s">
        <v>1014</v>
      </c>
    </row>
    <row r="232" spans="1:2">
      <c r="A232" s="39" t="s">
        <v>1015</v>
      </c>
      <c r="B232" s="39" t="s">
        <v>1016</v>
      </c>
    </row>
    <row r="233" spans="1:2">
      <c r="A233" s="39" t="s">
        <v>1017</v>
      </c>
      <c r="B233" s="39" t="s">
        <v>1018</v>
      </c>
    </row>
    <row r="234" spans="1:2">
      <c r="A234" s="39" t="s">
        <v>1019</v>
      </c>
      <c r="B234" s="39" t="s">
        <v>1020</v>
      </c>
    </row>
    <row r="235" spans="1:2">
      <c r="A235" s="39" t="s">
        <v>1021</v>
      </c>
      <c r="B235" s="39" t="s">
        <v>1022</v>
      </c>
    </row>
    <row r="236" spans="1:2">
      <c r="A236" s="39" t="s">
        <v>1023</v>
      </c>
      <c r="B236" s="39" t="s">
        <v>1024</v>
      </c>
    </row>
    <row r="237" spans="1:2" ht="33.950000000000003">
      <c r="A237" s="33" t="s">
        <v>1025</v>
      </c>
      <c r="B237" s="38" t="s">
        <v>1026</v>
      </c>
    </row>
    <row r="238" spans="1:2" ht="51">
      <c r="A238" s="33" t="s">
        <v>1027</v>
      </c>
      <c r="B238" s="38" t="s">
        <v>1028</v>
      </c>
    </row>
    <row r="239" spans="1:2" ht="33.950000000000003">
      <c r="A239" s="33" t="s">
        <v>1029</v>
      </c>
      <c r="B239" s="38" t="s">
        <v>1030</v>
      </c>
    </row>
    <row r="240" spans="1:2" ht="33.950000000000003">
      <c r="A240" s="33" t="s">
        <v>1031</v>
      </c>
      <c r="B240" s="38" t="s">
        <v>1032</v>
      </c>
    </row>
    <row r="241" spans="1:2" ht="33.950000000000003">
      <c r="A241" s="33" t="s">
        <v>1033</v>
      </c>
      <c r="B241" s="38" t="s">
        <v>1034</v>
      </c>
    </row>
    <row r="242" spans="1:2" ht="51">
      <c r="A242" s="33" t="s">
        <v>1035</v>
      </c>
      <c r="B242" s="38" t="s">
        <v>1036</v>
      </c>
    </row>
    <row r="243" spans="1:2" ht="68.099999999999994">
      <c r="A243" s="33" t="s">
        <v>1037</v>
      </c>
      <c r="B243" s="38" t="s">
        <v>1038</v>
      </c>
    </row>
    <row r="244" spans="1:2" ht="84.95">
      <c r="A244" s="33" t="s">
        <v>1039</v>
      </c>
      <c r="B244" s="38" t="s">
        <v>1040</v>
      </c>
    </row>
    <row r="245" spans="1:2" ht="33.950000000000003">
      <c r="A245" s="33" t="s">
        <v>1041</v>
      </c>
      <c r="B245" s="38" t="s">
        <v>1042</v>
      </c>
    </row>
    <row r="246" spans="1:2" ht="17.100000000000001">
      <c r="A246" s="33" t="s">
        <v>1043</v>
      </c>
      <c r="B246" s="38" t="s">
        <v>1044</v>
      </c>
    </row>
    <row r="247" spans="1:2" ht="17.100000000000001">
      <c r="A247" s="33" t="s">
        <v>1045</v>
      </c>
      <c r="B247" s="38" t="s">
        <v>1046</v>
      </c>
    </row>
    <row r="248" spans="1:2" ht="17.100000000000001">
      <c r="A248" s="33" t="s">
        <v>1047</v>
      </c>
      <c r="B248" s="38" t="s">
        <v>1048</v>
      </c>
    </row>
    <row r="249" spans="1:2" ht="17.100000000000001">
      <c r="A249" s="33" t="s">
        <v>1049</v>
      </c>
      <c r="B249" s="38" t="s">
        <v>1050</v>
      </c>
    </row>
    <row r="250" spans="1:2" ht="17.100000000000001">
      <c r="A250" s="33" t="s">
        <v>1051</v>
      </c>
      <c r="B250" s="38" t="s">
        <v>1052</v>
      </c>
    </row>
    <row r="251" spans="1:2" ht="17.100000000000001">
      <c r="A251" s="33" t="s">
        <v>1053</v>
      </c>
      <c r="B251" s="38" t="s">
        <v>1054</v>
      </c>
    </row>
    <row r="252" spans="1:2" ht="17.100000000000001">
      <c r="A252" s="33" t="s">
        <v>1055</v>
      </c>
      <c r="B252" s="38" t="s">
        <v>1056</v>
      </c>
    </row>
    <row r="253" spans="1:2" ht="17.100000000000001">
      <c r="A253" s="33" t="s">
        <v>1057</v>
      </c>
      <c r="B253" s="38" t="s">
        <v>1058</v>
      </c>
    </row>
    <row r="254" spans="1:2" ht="17.100000000000001">
      <c r="A254" s="33" t="s">
        <v>1059</v>
      </c>
      <c r="B254" s="38" t="s">
        <v>1060</v>
      </c>
    </row>
    <row r="255" spans="1:2" ht="17.100000000000001">
      <c r="A255" s="33" t="s">
        <v>1061</v>
      </c>
      <c r="B255" s="38" t="s">
        <v>1062</v>
      </c>
    </row>
    <row r="256" spans="1:2" ht="17.100000000000001">
      <c r="A256" s="33" t="s">
        <v>1063</v>
      </c>
      <c r="B256" s="38" t="s">
        <v>1064</v>
      </c>
    </row>
    <row r="257" spans="1:2" ht="17.100000000000001">
      <c r="A257" s="33" t="s">
        <v>1065</v>
      </c>
      <c r="B257" s="38" t="s">
        <v>1066</v>
      </c>
    </row>
    <row r="258" spans="1:2" ht="17.100000000000001">
      <c r="A258" s="33" t="s">
        <v>1067</v>
      </c>
      <c r="B258" s="38" t="s">
        <v>1068</v>
      </c>
    </row>
    <row r="259" spans="1:2" ht="17.100000000000001">
      <c r="A259" s="33" t="s">
        <v>1069</v>
      </c>
      <c r="B259" s="38" t="s">
        <v>1070</v>
      </c>
    </row>
    <row r="260" spans="1:2" ht="17.100000000000001">
      <c r="A260" s="33" t="s">
        <v>1071</v>
      </c>
      <c r="B260" s="38" t="s">
        <v>1072</v>
      </c>
    </row>
    <row r="261" spans="1:2" ht="17.100000000000001">
      <c r="A261" s="33" t="s">
        <v>1073</v>
      </c>
      <c r="B261" s="37" t="s">
        <v>1074</v>
      </c>
    </row>
    <row r="262" spans="1:2" ht="17.100000000000001">
      <c r="A262" s="33" t="s">
        <v>1075</v>
      </c>
      <c r="B262" s="37" t="s">
        <v>1076</v>
      </c>
    </row>
    <row r="263" spans="1:2" ht="17.100000000000001">
      <c r="A263" s="33" t="s">
        <v>1077</v>
      </c>
      <c r="B263" s="37" t="s">
        <v>1078</v>
      </c>
    </row>
    <row r="264" spans="1:2" ht="17.100000000000001">
      <c r="A264" s="33" t="s">
        <v>1079</v>
      </c>
      <c r="B264" s="37" t="s">
        <v>1080</v>
      </c>
    </row>
    <row r="265" spans="1:2" ht="17.100000000000001">
      <c r="A265" s="33" t="s">
        <v>1081</v>
      </c>
      <c r="B265" s="37" t="s">
        <v>1082</v>
      </c>
    </row>
    <row r="266" spans="1:2" ht="17.100000000000001">
      <c r="A266" s="33" t="s">
        <v>1083</v>
      </c>
      <c r="B266" s="37" t="s">
        <v>1084</v>
      </c>
    </row>
    <row r="267" spans="1:2" ht="17.100000000000001">
      <c r="A267" s="33" t="s">
        <v>1085</v>
      </c>
      <c r="B267" s="37" t="s">
        <v>1086</v>
      </c>
    </row>
    <row r="268" spans="1:2" ht="17.100000000000001">
      <c r="A268" s="33" t="s">
        <v>1087</v>
      </c>
      <c r="B268" s="37" t="s">
        <v>1088</v>
      </c>
    </row>
    <row r="269" spans="1:2" ht="17.100000000000001">
      <c r="A269" s="33" t="s">
        <v>1089</v>
      </c>
      <c r="B269" s="37" t="s">
        <v>1090</v>
      </c>
    </row>
    <row r="270" spans="1:2" ht="17.100000000000001">
      <c r="A270" s="33" t="s">
        <v>1091</v>
      </c>
      <c r="B270" s="37" t="s">
        <v>1092</v>
      </c>
    </row>
    <row r="271" spans="1:2" ht="17.100000000000001">
      <c r="A271" s="33" t="s">
        <v>1093</v>
      </c>
      <c r="B271" s="37" t="s">
        <v>1094</v>
      </c>
    </row>
    <row r="272" spans="1:2" ht="17.100000000000001">
      <c r="A272" s="33" t="s">
        <v>1095</v>
      </c>
      <c r="B272" s="37" t="s">
        <v>1096</v>
      </c>
    </row>
    <row r="273" spans="1:2" ht="17.100000000000001">
      <c r="A273" s="33" t="s">
        <v>1097</v>
      </c>
      <c r="B273" s="37" t="s">
        <v>1098</v>
      </c>
    </row>
    <row r="274" spans="1:2" ht="17.100000000000001">
      <c r="A274" s="33" t="s">
        <v>1099</v>
      </c>
      <c r="B274" s="37" t="s">
        <v>1100</v>
      </c>
    </row>
    <row r="275" spans="1:2" ht="17.100000000000001">
      <c r="A275" s="33" t="s">
        <v>1101</v>
      </c>
      <c r="B275" s="37" t="s">
        <v>1102</v>
      </c>
    </row>
    <row r="276" spans="1:2" ht="17.100000000000001">
      <c r="A276" s="33" t="s">
        <v>1103</v>
      </c>
      <c r="B276" s="37" t="s">
        <v>1104</v>
      </c>
    </row>
    <row r="277" spans="1:2" ht="17.100000000000001">
      <c r="A277" s="33" t="s">
        <v>1105</v>
      </c>
      <c r="B277" s="37" t="s">
        <v>1106</v>
      </c>
    </row>
    <row r="278" spans="1:2" ht="17.100000000000001">
      <c r="A278" s="33" t="s">
        <v>1107</v>
      </c>
      <c r="B278" s="37" t="s">
        <v>1108</v>
      </c>
    </row>
    <row r="279" spans="1:2" ht="17.100000000000001">
      <c r="A279" s="33" t="s">
        <v>1109</v>
      </c>
      <c r="B279" s="37" t="s">
        <v>1110</v>
      </c>
    </row>
    <row r="280" spans="1:2" ht="17.100000000000001">
      <c r="A280" s="33" t="s">
        <v>1111</v>
      </c>
      <c r="B280" s="37" t="s">
        <v>1112</v>
      </c>
    </row>
    <row r="281" spans="1:2" ht="17.100000000000001">
      <c r="A281" s="33" t="s">
        <v>1113</v>
      </c>
      <c r="B281" s="37" t="s">
        <v>1114</v>
      </c>
    </row>
    <row r="282" spans="1:2" ht="17.100000000000001">
      <c r="A282" s="33" t="s">
        <v>1115</v>
      </c>
      <c r="B282" s="37" t="s">
        <v>1116</v>
      </c>
    </row>
    <row r="283" spans="1:2" ht="17.100000000000001">
      <c r="A283" s="33" t="s">
        <v>1117</v>
      </c>
      <c r="B283" s="37" t="s">
        <v>1118</v>
      </c>
    </row>
    <row r="284" spans="1:2" ht="17.100000000000001">
      <c r="A284" s="33" t="s">
        <v>1119</v>
      </c>
      <c r="B284" s="37" t="s">
        <v>1120</v>
      </c>
    </row>
    <row r="285" spans="1:2" ht="17.100000000000001">
      <c r="A285" s="33" t="s">
        <v>1121</v>
      </c>
      <c r="B285" s="37" t="s">
        <v>1122</v>
      </c>
    </row>
    <row r="286" spans="1:2" ht="17.100000000000001">
      <c r="A286" s="33" t="s">
        <v>1123</v>
      </c>
      <c r="B286" s="37" t="s">
        <v>1124</v>
      </c>
    </row>
    <row r="287" spans="1:2" ht="17.100000000000001">
      <c r="A287" s="33" t="s">
        <v>1125</v>
      </c>
      <c r="B287" s="37" t="s">
        <v>1126</v>
      </c>
    </row>
    <row r="288" spans="1:2" ht="17.100000000000001">
      <c r="A288" s="33" t="s">
        <v>1127</v>
      </c>
      <c r="B288" s="37" t="s">
        <v>1128</v>
      </c>
    </row>
    <row r="289" spans="1:2" ht="17.100000000000001">
      <c r="A289" s="33" t="s">
        <v>1129</v>
      </c>
      <c r="B289" s="37" t="s">
        <v>1130</v>
      </c>
    </row>
    <row r="290" spans="1:2" ht="17.100000000000001">
      <c r="A290" s="33" t="s">
        <v>1131</v>
      </c>
      <c r="B290" s="37" t="s">
        <v>1132</v>
      </c>
    </row>
    <row r="291" spans="1:2" ht="17.100000000000001">
      <c r="A291" s="33" t="s">
        <v>1133</v>
      </c>
      <c r="B291" s="37" t="s">
        <v>1134</v>
      </c>
    </row>
    <row r="292" spans="1:2" ht="17.100000000000001">
      <c r="A292" s="33" t="s">
        <v>1135</v>
      </c>
      <c r="B292" s="37" t="s">
        <v>1136</v>
      </c>
    </row>
    <row r="293" spans="1:2" ht="17.100000000000001">
      <c r="A293" s="33" t="s">
        <v>1137</v>
      </c>
      <c r="B293" s="37" t="s">
        <v>1138</v>
      </c>
    </row>
    <row r="294" spans="1:2" ht="17.100000000000001">
      <c r="A294" s="33" t="s">
        <v>1139</v>
      </c>
      <c r="B294" s="37" t="s">
        <v>1140</v>
      </c>
    </row>
    <row r="295" spans="1:2" ht="17.100000000000001">
      <c r="A295" s="33" t="s">
        <v>1141</v>
      </c>
      <c r="B295" s="37" t="s">
        <v>1142</v>
      </c>
    </row>
    <row r="296" spans="1:2" ht="17.100000000000001">
      <c r="A296" s="33" t="s">
        <v>1143</v>
      </c>
      <c r="B296" s="37" t="s">
        <v>1144</v>
      </c>
    </row>
    <row r="297" spans="1:2" ht="17.100000000000001">
      <c r="A297" s="33" t="s">
        <v>1145</v>
      </c>
      <c r="B297" s="37" t="s">
        <v>1146</v>
      </c>
    </row>
    <row r="298" spans="1:2" ht="17.100000000000001">
      <c r="A298" s="33" t="s">
        <v>1147</v>
      </c>
      <c r="B298" s="37" t="s">
        <v>1148</v>
      </c>
    </row>
    <row r="299" spans="1:2" ht="17.100000000000001">
      <c r="A299" s="33" t="s">
        <v>1149</v>
      </c>
      <c r="B299" s="37" t="s">
        <v>1150</v>
      </c>
    </row>
    <row r="300" spans="1:2" ht="17.100000000000001">
      <c r="A300" s="33" t="s">
        <v>1151</v>
      </c>
      <c r="B300" s="37" t="s">
        <v>1152</v>
      </c>
    </row>
    <row r="301" spans="1:2" ht="17.100000000000001">
      <c r="A301" s="33" t="s">
        <v>1153</v>
      </c>
      <c r="B301" s="37" t="s">
        <v>1154</v>
      </c>
    </row>
    <row r="302" spans="1:2" ht="17.100000000000001">
      <c r="A302" s="33" t="s">
        <v>1155</v>
      </c>
      <c r="B302" s="37" t="s">
        <v>1156</v>
      </c>
    </row>
    <row r="303" spans="1:2" ht="17.100000000000001">
      <c r="A303" s="33" t="s">
        <v>1157</v>
      </c>
      <c r="B303" s="37" t="s">
        <v>1158</v>
      </c>
    </row>
    <row r="304" spans="1:2" ht="17.100000000000001">
      <c r="A304" s="33" t="s">
        <v>1159</v>
      </c>
      <c r="B304" s="37" t="s">
        <v>1160</v>
      </c>
    </row>
    <row r="305" spans="1:2" ht="17.100000000000001">
      <c r="A305" s="33" t="s">
        <v>1161</v>
      </c>
      <c r="B305" s="37" t="s">
        <v>1162</v>
      </c>
    </row>
    <row r="306" spans="1:2" ht="17.100000000000001">
      <c r="A306" s="33" t="s">
        <v>1163</v>
      </c>
      <c r="B306" s="37" t="s">
        <v>1164</v>
      </c>
    </row>
    <row r="307" spans="1:2" ht="17.100000000000001">
      <c r="A307" s="33" t="s">
        <v>1165</v>
      </c>
      <c r="B307" s="37" t="s">
        <v>1166</v>
      </c>
    </row>
    <row r="308" spans="1:2" ht="17.100000000000001">
      <c r="A308" s="33" t="s">
        <v>1167</v>
      </c>
      <c r="B308" s="37" t="s">
        <v>1168</v>
      </c>
    </row>
    <row r="309" spans="1:2" ht="17.100000000000001">
      <c r="A309" s="33" t="s">
        <v>1169</v>
      </c>
      <c r="B309" s="37" t="s">
        <v>1170</v>
      </c>
    </row>
    <row r="310" spans="1:2" ht="17.100000000000001">
      <c r="A310" s="33" t="s">
        <v>1171</v>
      </c>
      <c r="B310" s="37" t="s">
        <v>1172</v>
      </c>
    </row>
    <row r="311" spans="1:2" ht="17.100000000000001">
      <c r="A311" s="33" t="s">
        <v>1173</v>
      </c>
      <c r="B311" s="37" t="s">
        <v>1174</v>
      </c>
    </row>
    <row r="312" spans="1:2" ht="17.100000000000001">
      <c r="A312" s="33" t="s">
        <v>1175</v>
      </c>
      <c r="B312" s="37" t="s">
        <v>1176</v>
      </c>
    </row>
    <row r="313" spans="1:2" ht="17.100000000000001">
      <c r="A313" s="33" t="s">
        <v>1177</v>
      </c>
      <c r="B313" s="37" t="s">
        <v>1178</v>
      </c>
    </row>
    <row r="314" spans="1:2" ht="17.100000000000001">
      <c r="A314" s="33" t="s">
        <v>1179</v>
      </c>
      <c r="B314" s="37" t="s">
        <v>1180</v>
      </c>
    </row>
    <row r="315" spans="1:2" ht="17.100000000000001">
      <c r="A315" s="33" t="s">
        <v>1181</v>
      </c>
      <c r="B315" s="37" t="s">
        <v>1182</v>
      </c>
    </row>
    <row r="316" spans="1:2" ht="17.100000000000001">
      <c r="A316" s="33" t="s">
        <v>1183</v>
      </c>
      <c r="B316" s="37" t="s">
        <v>1184</v>
      </c>
    </row>
    <row r="317" spans="1:2" ht="17.100000000000001">
      <c r="A317" s="33" t="s">
        <v>1185</v>
      </c>
      <c r="B317" s="37" t="s">
        <v>1186</v>
      </c>
    </row>
    <row r="318" spans="1:2" ht="17.100000000000001">
      <c r="A318" s="33" t="s">
        <v>1187</v>
      </c>
      <c r="B318" s="37" t="s">
        <v>1188</v>
      </c>
    </row>
    <row r="319" spans="1:2" ht="17.100000000000001">
      <c r="A319" s="33" t="s">
        <v>1189</v>
      </c>
      <c r="B319" s="37" t="s">
        <v>1190</v>
      </c>
    </row>
    <row r="320" spans="1:2" ht="17.100000000000001">
      <c r="A320" s="33" t="s">
        <v>1191</v>
      </c>
      <c r="B320" s="37" t="s">
        <v>1192</v>
      </c>
    </row>
    <row r="321" spans="1:2" ht="17.100000000000001">
      <c r="A321" s="33" t="s">
        <v>1193</v>
      </c>
      <c r="B321" s="37" t="s">
        <v>1194</v>
      </c>
    </row>
    <row r="322" spans="1:2" ht="17.100000000000001">
      <c r="A322" s="33" t="s">
        <v>1195</v>
      </c>
      <c r="B322" s="37" t="s">
        <v>1196</v>
      </c>
    </row>
    <row r="323" spans="1:2" ht="17.100000000000001">
      <c r="A323" s="33" t="s">
        <v>1197</v>
      </c>
      <c r="B323" s="37" t="s">
        <v>1198</v>
      </c>
    </row>
    <row r="324" spans="1:2" ht="17.100000000000001">
      <c r="A324" s="33" t="s">
        <v>1199</v>
      </c>
      <c r="B324" s="37" t="s">
        <v>1200</v>
      </c>
    </row>
    <row r="325" spans="1:2" ht="17.100000000000001">
      <c r="A325" s="33" t="s">
        <v>1201</v>
      </c>
      <c r="B325" s="37" t="s">
        <v>1202</v>
      </c>
    </row>
    <row r="326" spans="1:2" ht="17.100000000000001">
      <c r="A326" s="33" t="s">
        <v>1203</v>
      </c>
      <c r="B326" s="37" t="s">
        <v>1204</v>
      </c>
    </row>
    <row r="327" spans="1:2" ht="17.100000000000001">
      <c r="A327" s="33" t="s">
        <v>1205</v>
      </c>
      <c r="B327" s="38" t="s">
        <v>1206</v>
      </c>
    </row>
    <row r="328" spans="1:2" ht="17.100000000000001">
      <c r="A328" s="33" t="s">
        <v>1207</v>
      </c>
      <c r="B328" s="38" t="s">
        <v>1208</v>
      </c>
    </row>
    <row r="329" spans="1:2" ht="17.100000000000001">
      <c r="A329" s="33" t="s">
        <v>1209</v>
      </c>
      <c r="B329" s="38" t="s">
        <v>1210</v>
      </c>
    </row>
    <row r="330" spans="1:2" ht="17.100000000000001">
      <c r="A330" s="33" t="s">
        <v>1211</v>
      </c>
      <c r="B330" s="38" t="s">
        <v>1212</v>
      </c>
    </row>
    <row r="331" spans="1:2" ht="17.100000000000001">
      <c r="A331" s="33" t="s">
        <v>1213</v>
      </c>
      <c r="B331" s="38" t="s">
        <v>1214</v>
      </c>
    </row>
    <row r="332" spans="1:2" ht="17.100000000000001">
      <c r="A332" s="33" t="s">
        <v>1215</v>
      </c>
      <c r="B332" s="38" t="s">
        <v>1216</v>
      </c>
    </row>
    <row r="333" spans="1:2" ht="17.100000000000001">
      <c r="A333" s="33" t="s">
        <v>1217</v>
      </c>
      <c r="B333" s="38" t="s">
        <v>1218</v>
      </c>
    </row>
    <row r="334" spans="1:2" ht="17.100000000000001">
      <c r="A334" s="33" t="s">
        <v>1219</v>
      </c>
      <c r="B334" s="38" t="s">
        <v>1220</v>
      </c>
    </row>
    <row r="335" spans="1:2" ht="17.100000000000001">
      <c r="A335" s="33" t="s">
        <v>1221</v>
      </c>
      <c r="B335" s="38" t="s">
        <v>1222</v>
      </c>
    </row>
    <row r="336" spans="1:2" ht="17.100000000000001">
      <c r="A336" s="33" t="s">
        <v>1223</v>
      </c>
      <c r="B336" s="38" t="s">
        <v>1224</v>
      </c>
    </row>
    <row r="337" spans="1:2" ht="17.100000000000001">
      <c r="A337" s="33" t="s">
        <v>1225</v>
      </c>
      <c r="B337" s="38" t="s">
        <v>1226</v>
      </c>
    </row>
    <row r="338" spans="1:2" ht="17.100000000000001">
      <c r="A338" s="33" t="s">
        <v>1227</v>
      </c>
      <c r="B338" s="38" t="s">
        <v>1228</v>
      </c>
    </row>
    <row r="339" spans="1:2" ht="17.100000000000001">
      <c r="A339" s="33" t="s">
        <v>1229</v>
      </c>
      <c r="B339" s="38" t="s">
        <v>1230</v>
      </c>
    </row>
    <row r="340" spans="1:2" ht="17.100000000000001">
      <c r="A340" s="33" t="s">
        <v>1231</v>
      </c>
      <c r="B340" s="38" t="s">
        <v>1232</v>
      </c>
    </row>
    <row r="341" spans="1:2" ht="17.100000000000001">
      <c r="A341" s="33" t="s">
        <v>1233</v>
      </c>
      <c r="B341" s="38" t="s">
        <v>1234</v>
      </c>
    </row>
    <row r="342" spans="1:2" ht="17.100000000000001">
      <c r="A342" s="33" t="s">
        <v>1235</v>
      </c>
      <c r="B342" s="38" t="s">
        <v>1236</v>
      </c>
    </row>
    <row r="343" spans="1:2" ht="17.100000000000001">
      <c r="A343" s="33" t="s">
        <v>1237</v>
      </c>
      <c r="B343" s="38" t="s">
        <v>1238</v>
      </c>
    </row>
    <row r="344" spans="1:2" ht="17.100000000000001">
      <c r="A344" s="33" t="s">
        <v>1239</v>
      </c>
      <c r="B344" s="38" t="s">
        <v>1240</v>
      </c>
    </row>
    <row r="345" spans="1:2" ht="17.100000000000001">
      <c r="A345" s="33" t="s">
        <v>1241</v>
      </c>
      <c r="B345" s="38" t="s">
        <v>1242</v>
      </c>
    </row>
    <row r="346" spans="1:2" ht="17.100000000000001">
      <c r="A346" s="33" t="s">
        <v>1243</v>
      </c>
      <c r="B346" s="38" t="s">
        <v>1244</v>
      </c>
    </row>
    <row r="347" spans="1:2" ht="17.100000000000001">
      <c r="A347" s="33" t="s">
        <v>1245</v>
      </c>
      <c r="B347" s="38" t="s">
        <v>1246</v>
      </c>
    </row>
    <row r="348" spans="1:2" ht="17.100000000000001">
      <c r="A348" s="33" t="s">
        <v>1247</v>
      </c>
      <c r="B348" s="38" t="s">
        <v>1248</v>
      </c>
    </row>
    <row r="349" spans="1:2" ht="17.100000000000001">
      <c r="A349" s="33" t="s">
        <v>1249</v>
      </c>
      <c r="B349" s="38" t="s">
        <v>1250</v>
      </c>
    </row>
    <row r="350" spans="1:2" ht="17.100000000000001">
      <c r="A350" s="33" t="s">
        <v>1251</v>
      </c>
      <c r="B350" s="38" t="s">
        <v>1252</v>
      </c>
    </row>
    <row r="351" spans="1:2" ht="17.100000000000001">
      <c r="A351" s="33" t="s">
        <v>1253</v>
      </c>
      <c r="B351" s="38" t="s">
        <v>1254</v>
      </c>
    </row>
    <row r="352" spans="1:2" ht="17.100000000000001">
      <c r="A352" s="33" t="s">
        <v>1255</v>
      </c>
      <c r="B352" s="38" t="s">
        <v>1256</v>
      </c>
    </row>
    <row r="353" spans="1:2" ht="17.100000000000001">
      <c r="A353" s="33" t="s">
        <v>1257</v>
      </c>
      <c r="B353" s="38" t="s">
        <v>1258</v>
      </c>
    </row>
    <row r="354" spans="1:2" ht="17.100000000000001">
      <c r="A354" s="33" t="s">
        <v>1259</v>
      </c>
      <c r="B354" s="38" t="s">
        <v>1260</v>
      </c>
    </row>
    <row r="355" spans="1:2" ht="17.100000000000001">
      <c r="A355" s="33" t="s">
        <v>1261</v>
      </c>
      <c r="B355" s="37" t="s">
        <v>1262</v>
      </c>
    </row>
    <row r="356" spans="1:2" ht="45">
      <c r="A356" s="215" t="s">
        <v>1263</v>
      </c>
      <c r="B356" s="38" t="s">
        <v>1264</v>
      </c>
    </row>
    <row r="357" spans="1:2" ht="150">
      <c r="A357" s="215" t="s">
        <v>1265</v>
      </c>
      <c r="B357" s="38" t="s">
        <v>1266</v>
      </c>
    </row>
    <row r="358" spans="1:2" ht="150">
      <c r="A358" s="215" t="s">
        <v>1267</v>
      </c>
      <c r="B358" s="38" t="s">
        <v>1268</v>
      </c>
    </row>
    <row r="359" spans="1:2" ht="33.950000000000003">
      <c r="A359" s="33" t="s">
        <v>1269</v>
      </c>
      <c r="B359" s="38" t="s">
        <v>1270</v>
      </c>
    </row>
    <row r="360" spans="1:2" ht="30">
      <c r="A360" s="215" t="s">
        <v>1271</v>
      </c>
      <c r="B360" s="38" t="s">
        <v>1272</v>
      </c>
    </row>
    <row r="361" spans="1:2" ht="33.950000000000003">
      <c r="A361" s="33" t="s">
        <v>1273</v>
      </c>
      <c r="B361" s="38" t="s">
        <v>1274</v>
      </c>
    </row>
    <row r="362" spans="1:2" ht="51">
      <c r="A362" s="33" t="s">
        <v>1275</v>
      </c>
      <c r="B362" s="38" t="s">
        <v>1276</v>
      </c>
    </row>
    <row r="363" spans="1:2" ht="33.950000000000003">
      <c r="A363" s="33" t="s">
        <v>1277</v>
      </c>
      <c r="B363" s="38" t="s">
        <v>1278</v>
      </c>
    </row>
    <row r="364" spans="1:2" ht="51">
      <c r="A364" s="33" t="s">
        <v>1279</v>
      </c>
      <c r="B364" s="38" t="s">
        <v>1280</v>
      </c>
    </row>
    <row r="365" spans="1:2" ht="90">
      <c r="A365" s="215" t="s">
        <v>1281</v>
      </c>
      <c r="B365" s="38" t="s">
        <v>1282</v>
      </c>
    </row>
    <row r="366" spans="1:2" ht="45">
      <c r="A366" s="215" t="s">
        <v>1283</v>
      </c>
      <c r="B366" s="38" t="s">
        <v>1284</v>
      </c>
    </row>
    <row r="367" spans="1:2" ht="33.950000000000003">
      <c r="A367" s="33" t="s">
        <v>1285</v>
      </c>
      <c r="B367" s="38" t="s">
        <v>1286</v>
      </c>
    </row>
    <row r="368" spans="1:2" ht="33.950000000000003">
      <c r="A368" s="33" t="s">
        <v>1287</v>
      </c>
      <c r="B368" s="38" t="s">
        <v>1288</v>
      </c>
    </row>
    <row r="369" spans="1:2" ht="45">
      <c r="A369" s="215" t="s">
        <v>1289</v>
      </c>
      <c r="B369" s="38" t="s">
        <v>1290</v>
      </c>
    </row>
    <row r="370" spans="1:2" ht="45">
      <c r="A370" s="215" t="s">
        <v>1291</v>
      </c>
      <c r="B370" s="38" t="s">
        <v>1292</v>
      </c>
    </row>
    <row r="371" spans="1:2">
      <c r="A371" s="40" t="s">
        <v>1293</v>
      </c>
      <c r="B371" s="46" t="s">
        <v>1294</v>
      </c>
    </row>
    <row r="372" spans="1:2">
      <c r="A372" s="40" t="s">
        <v>1295</v>
      </c>
      <c r="B372" s="46" t="s">
        <v>1296</v>
      </c>
    </row>
    <row r="373" spans="1:2">
      <c r="A373" s="40" t="s">
        <v>1297</v>
      </c>
      <c r="B373" s="46" t="s">
        <v>1298</v>
      </c>
    </row>
    <row r="374" spans="1:2">
      <c r="A374" s="40" t="s">
        <v>1299</v>
      </c>
      <c r="B374" s="46" t="s">
        <v>1300</v>
      </c>
    </row>
    <row r="375" spans="1:2">
      <c r="A375" s="40" t="s">
        <v>1301</v>
      </c>
      <c r="B375" s="46" t="s">
        <v>1302</v>
      </c>
    </row>
    <row r="376" spans="1:2">
      <c r="A376" s="40" t="s">
        <v>1303</v>
      </c>
      <c r="B376" s="46" t="s">
        <v>1304</v>
      </c>
    </row>
    <row r="377" spans="1:2">
      <c r="A377" s="41" t="s">
        <v>1305</v>
      </c>
      <c r="B377" s="45" t="s">
        <v>1306</v>
      </c>
    </row>
    <row r="378" spans="1:2">
      <c r="A378" s="40" t="s">
        <v>1307</v>
      </c>
      <c r="B378" s="46" t="s">
        <v>1308</v>
      </c>
    </row>
    <row r="379" spans="1:2">
      <c r="A379" s="40" t="s">
        <v>1309</v>
      </c>
      <c r="B379" s="46" t="s">
        <v>1310</v>
      </c>
    </row>
    <row r="380" spans="1:2">
      <c r="A380" s="40" t="s">
        <v>1311</v>
      </c>
      <c r="B380" s="46" t="s">
        <v>1312</v>
      </c>
    </row>
    <row r="381" spans="1:2">
      <c r="A381" s="40" t="s">
        <v>1313</v>
      </c>
      <c r="B381" s="46" t="s">
        <v>1314</v>
      </c>
    </row>
    <row r="382" spans="1:2">
      <c r="A382" s="40" t="s">
        <v>1315</v>
      </c>
      <c r="B382" s="46" t="s">
        <v>1316</v>
      </c>
    </row>
    <row r="383" spans="1:2">
      <c r="A383" s="40" t="s">
        <v>1317</v>
      </c>
      <c r="B383" s="46" t="s">
        <v>1318</v>
      </c>
    </row>
    <row r="384" spans="1:2">
      <c r="A384" s="40" t="s">
        <v>1319</v>
      </c>
      <c r="B384" s="46" t="s">
        <v>1320</v>
      </c>
    </row>
    <row r="385" spans="1:2">
      <c r="A385" s="40" t="s">
        <v>1321</v>
      </c>
      <c r="B385" s="47" t="s">
        <v>1322</v>
      </c>
    </row>
    <row r="386" spans="1:2">
      <c r="A386" s="40" t="s">
        <v>1323</v>
      </c>
      <c r="B386" s="46" t="s">
        <v>1320</v>
      </c>
    </row>
    <row r="387" spans="1:2">
      <c r="A387" s="40" t="s">
        <v>1324</v>
      </c>
      <c r="B387" s="46" t="s">
        <v>1325</v>
      </c>
    </row>
    <row r="388" spans="1:2">
      <c r="A388" s="40" t="s">
        <v>1326</v>
      </c>
      <c r="B388" s="46" t="s">
        <v>1327</v>
      </c>
    </row>
    <row r="389" spans="1:2">
      <c r="A389" s="40" t="s">
        <v>1328</v>
      </c>
      <c r="B389" s="46" t="s">
        <v>1329</v>
      </c>
    </row>
    <row r="390" spans="1:2">
      <c r="A390" s="40" t="s">
        <v>1330</v>
      </c>
      <c r="B390" s="46" t="s">
        <v>1331</v>
      </c>
    </row>
    <row r="391" spans="1:2">
      <c r="A391" s="40" t="s">
        <v>1332</v>
      </c>
      <c r="B391" s="46" t="s">
        <v>1333</v>
      </c>
    </row>
    <row r="392" spans="1:2">
      <c r="A392" s="40" t="s">
        <v>1334</v>
      </c>
      <c r="B392" s="46" t="s">
        <v>1335</v>
      </c>
    </row>
    <row r="393" spans="1:2">
      <c r="A393" s="40" t="s">
        <v>1336</v>
      </c>
      <c r="B393" s="46" t="s">
        <v>1337</v>
      </c>
    </row>
    <row r="394" spans="1:2">
      <c r="A394" s="40" t="s">
        <v>1338</v>
      </c>
      <c r="B394" s="46" t="s">
        <v>1339</v>
      </c>
    </row>
    <row r="395" spans="1:2">
      <c r="A395" s="40" t="s">
        <v>1340</v>
      </c>
      <c r="B395" s="46" t="s">
        <v>1341</v>
      </c>
    </row>
    <row r="396" spans="1:2">
      <c r="A396" s="40" t="s">
        <v>1342</v>
      </c>
      <c r="B396" s="46" t="s">
        <v>1343</v>
      </c>
    </row>
    <row r="397" spans="1:2">
      <c r="A397" s="40" t="s">
        <v>1344</v>
      </c>
      <c r="B397" s="46" t="s">
        <v>1345</v>
      </c>
    </row>
    <row r="398" spans="1:2">
      <c r="A398" s="40" t="s">
        <v>1346</v>
      </c>
      <c r="B398" s="47" t="s">
        <v>1347</v>
      </c>
    </row>
    <row r="399" spans="1:2">
      <c r="A399" s="40" t="s">
        <v>1348</v>
      </c>
      <c r="B399" s="46" t="s">
        <v>1349</v>
      </c>
    </row>
    <row r="400" spans="1:2">
      <c r="A400" s="40" t="s">
        <v>1350</v>
      </c>
      <c r="B400" s="46" t="s">
        <v>1351</v>
      </c>
    </row>
    <row r="401" spans="1:2">
      <c r="A401" s="40" t="s">
        <v>1352</v>
      </c>
      <c r="B401" s="46" t="s">
        <v>1353</v>
      </c>
    </row>
    <row r="402" spans="1:2">
      <c r="A402" s="40" t="s">
        <v>1354</v>
      </c>
      <c r="B402" s="46" t="s">
        <v>1320</v>
      </c>
    </row>
    <row r="403" spans="1:2">
      <c r="A403" s="40" t="s">
        <v>1355</v>
      </c>
      <c r="B403" s="47" t="s">
        <v>1356</v>
      </c>
    </row>
    <row r="404" spans="1:2">
      <c r="A404" s="40" t="s">
        <v>1357</v>
      </c>
      <c r="B404" s="46" t="s">
        <v>1358</v>
      </c>
    </row>
    <row r="405" spans="1:2">
      <c r="A405" s="41" t="s">
        <v>1359</v>
      </c>
      <c r="B405" s="45" t="s">
        <v>1360</v>
      </c>
    </row>
    <row r="406" spans="1:2">
      <c r="A406" s="40" t="s">
        <v>1361</v>
      </c>
      <c r="B406" s="46" t="s">
        <v>1362</v>
      </c>
    </row>
    <row r="407" spans="1:2">
      <c r="A407" s="40" t="s">
        <v>1363</v>
      </c>
      <c r="B407" s="46" t="s">
        <v>1364</v>
      </c>
    </row>
    <row r="408" spans="1:2">
      <c r="A408" s="40" t="s">
        <v>1365</v>
      </c>
      <c r="B408" s="46" t="s">
        <v>1366</v>
      </c>
    </row>
    <row r="409" spans="1:2">
      <c r="A409" s="40" t="s">
        <v>1367</v>
      </c>
      <c r="B409" s="46" t="s">
        <v>1368</v>
      </c>
    </row>
    <row r="410" spans="1:2">
      <c r="A410" s="40" t="s">
        <v>1369</v>
      </c>
      <c r="B410" s="46" t="s">
        <v>1370</v>
      </c>
    </row>
    <row r="411" spans="1:2">
      <c r="A411" s="40" t="s">
        <v>1371</v>
      </c>
      <c r="B411" s="46" t="s">
        <v>1372</v>
      </c>
    </row>
    <row r="412" spans="1:2">
      <c r="A412" s="40" t="s">
        <v>1373</v>
      </c>
      <c r="B412" s="46" t="s">
        <v>1374</v>
      </c>
    </row>
    <row r="413" spans="1:2">
      <c r="A413" s="40" t="s">
        <v>1375</v>
      </c>
      <c r="B413" s="46" t="s">
        <v>1376</v>
      </c>
    </row>
    <row r="414" spans="1:2">
      <c r="A414" s="40" t="s">
        <v>1377</v>
      </c>
      <c r="B414" s="46" t="s">
        <v>1378</v>
      </c>
    </row>
    <row r="415" spans="1:2">
      <c r="A415" s="40" t="s">
        <v>1379</v>
      </c>
      <c r="B415" s="46" t="s">
        <v>1380</v>
      </c>
    </row>
    <row r="416" spans="1:2">
      <c r="A416" s="40" t="s">
        <v>1381</v>
      </c>
      <c r="B416" s="46" t="s">
        <v>1382</v>
      </c>
    </row>
    <row r="417" spans="1:2">
      <c r="A417" s="40" t="s">
        <v>1383</v>
      </c>
      <c r="B417" s="46" t="s">
        <v>1384</v>
      </c>
    </row>
    <row r="418" spans="1:2">
      <c r="A418" s="40" t="s">
        <v>1385</v>
      </c>
      <c r="B418" s="46" t="s">
        <v>1386</v>
      </c>
    </row>
    <row r="419" spans="1:2">
      <c r="A419" s="40" t="s">
        <v>1387</v>
      </c>
      <c r="B419" s="46" t="s">
        <v>1388</v>
      </c>
    </row>
    <row r="420" spans="1:2">
      <c r="A420" s="40" t="s">
        <v>1389</v>
      </c>
      <c r="B420" s="47" t="s">
        <v>1390</v>
      </c>
    </row>
    <row r="421" spans="1:2">
      <c r="A421" s="40" t="s">
        <v>1391</v>
      </c>
      <c r="B421" s="46" t="s">
        <v>1392</v>
      </c>
    </row>
    <row r="422" spans="1:2">
      <c r="A422" s="40" t="s">
        <v>1393</v>
      </c>
      <c r="B422" s="46" t="s">
        <v>1394</v>
      </c>
    </row>
    <row r="423" spans="1:2">
      <c r="A423" s="40" t="s">
        <v>1395</v>
      </c>
      <c r="B423" s="46" t="s">
        <v>1320</v>
      </c>
    </row>
    <row r="424" spans="1:2">
      <c r="A424" s="40" t="s">
        <v>1396</v>
      </c>
      <c r="B424" s="46" t="s">
        <v>1397</v>
      </c>
    </row>
    <row r="425" spans="1:2">
      <c r="A425" s="40" t="s">
        <v>1398</v>
      </c>
      <c r="B425" s="46" t="s">
        <v>1399</v>
      </c>
    </row>
    <row r="426" spans="1:2">
      <c r="A426" s="40" t="s">
        <v>1400</v>
      </c>
      <c r="B426" s="46" t="s">
        <v>1401</v>
      </c>
    </row>
    <row r="427" spans="1:2">
      <c r="A427" s="40" t="s">
        <v>1402</v>
      </c>
      <c r="B427" s="46" t="s">
        <v>1403</v>
      </c>
    </row>
    <row r="428" spans="1:2">
      <c r="A428" s="40" t="s">
        <v>1404</v>
      </c>
      <c r="B428" s="46" t="s">
        <v>1405</v>
      </c>
    </row>
    <row r="429" spans="1:2">
      <c r="A429" s="40" t="s">
        <v>1406</v>
      </c>
      <c r="B429" s="47" t="s">
        <v>1407</v>
      </c>
    </row>
    <row r="430" spans="1:2">
      <c r="A430" s="40" t="s">
        <v>1408</v>
      </c>
      <c r="B430" s="46" t="s">
        <v>1409</v>
      </c>
    </row>
    <row r="431" spans="1:2">
      <c r="A431" s="40" t="s">
        <v>1410</v>
      </c>
      <c r="B431" s="46" t="s">
        <v>1411</v>
      </c>
    </row>
    <row r="432" spans="1:2">
      <c r="A432" s="40" t="s">
        <v>1412</v>
      </c>
      <c r="B432" s="46" t="s">
        <v>1413</v>
      </c>
    </row>
    <row r="433" spans="1:2">
      <c r="A433" s="40" t="s">
        <v>1414</v>
      </c>
      <c r="B433" s="46" t="s">
        <v>1415</v>
      </c>
    </row>
    <row r="434" spans="1:2">
      <c r="A434" s="40" t="s">
        <v>1416</v>
      </c>
      <c r="B434" s="46" t="s">
        <v>1417</v>
      </c>
    </row>
    <row r="435" spans="1:2">
      <c r="A435" s="40" t="s">
        <v>1418</v>
      </c>
      <c r="B435" s="46" t="s">
        <v>1419</v>
      </c>
    </row>
    <row r="436" spans="1:2">
      <c r="A436" s="40" t="s">
        <v>1420</v>
      </c>
      <c r="B436" s="46" t="s">
        <v>1421</v>
      </c>
    </row>
    <row r="437" spans="1:2">
      <c r="A437" s="40" t="s">
        <v>1422</v>
      </c>
      <c r="B437" s="46" t="s">
        <v>1423</v>
      </c>
    </row>
    <row r="438" spans="1:2">
      <c r="A438" s="40" t="s">
        <v>1424</v>
      </c>
      <c r="B438" s="46" t="s">
        <v>1425</v>
      </c>
    </row>
    <row r="439" spans="1:2">
      <c r="A439" s="40" t="s">
        <v>1426</v>
      </c>
      <c r="B439" s="46" t="s">
        <v>1427</v>
      </c>
    </row>
    <row r="440" spans="1:2">
      <c r="A440" s="40" t="s">
        <v>1428</v>
      </c>
      <c r="B440" s="47" t="s">
        <v>1429</v>
      </c>
    </row>
    <row r="441" spans="1:2">
      <c r="A441" s="40" t="s">
        <v>1430</v>
      </c>
      <c r="B441" s="46" t="s">
        <v>1431</v>
      </c>
    </row>
    <row r="442" spans="1:2">
      <c r="A442" s="40" t="s">
        <v>1432</v>
      </c>
      <c r="B442" s="46" t="s">
        <v>1433</v>
      </c>
    </row>
    <row r="443" spans="1:2">
      <c r="A443" s="40" t="s">
        <v>1434</v>
      </c>
      <c r="B443" s="46" t="s">
        <v>1435</v>
      </c>
    </row>
    <row r="444" spans="1:2">
      <c r="A444" s="40" t="s">
        <v>1436</v>
      </c>
      <c r="B444" s="46" t="s">
        <v>1320</v>
      </c>
    </row>
    <row r="445" spans="1:2">
      <c r="A445" s="40" t="s">
        <v>1437</v>
      </c>
      <c r="B445" s="46" t="s">
        <v>1438</v>
      </c>
    </row>
    <row r="446" spans="1:2">
      <c r="A446" s="40" t="s">
        <v>1439</v>
      </c>
      <c r="B446" s="46" t="s">
        <v>1440</v>
      </c>
    </row>
    <row r="447" spans="1:2">
      <c r="A447" s="40" t="s">
        <v>1441</v>
      </c>
      <c r="B447" s="46" t="s">
        <v>1442</v>
      </c>
    </row>
    <row r="448" spans="1:2">
      <c r="A448" s="40" t="s">
        <v>1443</v>
      </c>
      <c r="B448" s="46" t="s">
        <v>1444</v>
      </c>
    </row>
    <row r="449" spans="1:2">
      <c r="A449" s="40" t="s">
        <v>1445</v>
      </c>
      <c r="B449" s="47" t="s">
        <v>1446</v>
      </c>
    </row>
    <row r="450" spans="1:2">
      <c r="A450" s="40" t="s">
        <v>1447</v>
      </c>
      <c r="B450" s="46" t="s">
        <v>1448</v>
      </c>
    </row>
    <row r="451" spans="1:2">
      <c r="A451" s="40" t="s">
        <v>1449</v>
      </c>
      <c r="B451" s="46" t="s">
        <v>1450</v>
      </c>
    </row>
    <row r="452" spans="1:2">
      <c r="A452" s="40" t="s">
        <v>1451</v>
      </c>
      <c r="B452" s="46" t="s">
        <v>1452</v>
      </c>
    </row>
    <row r="453" spans="1:2">
      <c r="A453" s="40" t="s">
        <v>1453</v>
      </c>
      <c r="B453" s="47" t="s">
        <v>1454</v>
      </c>
    </row>
    <row r="454" spans="1:2">
      <c r="A454" s="40" t="s">
        <v>1455</v>
      </c>
      <c r="B454" s="47" t="s">
        <v>1456</v>
      </c>
    </row>
    <row r="455" spans="1:2">
      <c r="A455" s="40" t="s">
        <v>1457</v>
      </c>
      <c r="B455" s="46" t="s">
        <v>1458</v>
      </c>
    </row>
    <row r="456" spans="1:2">
      <c r="A456" s="40" t="s">
        <v>1459</v>
      </c>
      <c r="B456" s="46" t="s">
        <v>1460</v>
      </c>
    </row>
    <row r="457" spans="1:2">
      <c r="A457" s="40" t="s">
        <v>1461</v>
      </c>
      <c r="B457" s="46" t="s">
        <v>1462</v>
      </c>
    </row>
    <row r="458" spans="1:2">
      <c r="A458" s="44" t="s">
        <v>1463</v>
      </c>
      <c r="B458" s="43" t="s">
        <v>1464</v>
      </c>
    </row>
    <row r="459" spans="1:2">
      <c r="A459" s="40" t="s">
        <v>1465</v>
      </c>
      <c r="B459" s="46" t="s">
        <v>1466</v>
      </c>
    </row>
    <row r="460" spans="1:2">
      <c r="A460" s="40" t="s">
        <v>1467</v>
      </c>
      <c r="B460" s="46" t="s">
        <v>1468</v>
      </c>
    </row>
    <row r="461" spans="1:2">
      <c r="A461" s="40" t="s">
        <v>1469</v>
      </c>
      <c r="B461" s="46" t="s">
        <v>1470</v>
      </c>
    </row>
    <row r="462" spans="1:2">
      <c r="A462" s="40" t="s">
        <v>1471</v>
      </c>
      <c r="B462" s="46" t="s">
        <v>1472</v>
      </c>
    </row>
    <row r="463" spans="1:2">
      <c r="A463" s="40" t="s">
        <v>1473</v>
      </c>
      <c r="B463" s="46" t="s">
        <v>1474</v>
      </c>
    </row>
    <row r="464" spans="1:2">
      <c r="A464" s="40" t="s">
        <v>1475</v>
      </c>
      <c r="B464" s="46" t="s">
        <v>1476</v>
      </c>
    </row>
    <row r="465" spans="1:2">
      <c r="A465" s="40" t="s">
        <v>1477</v>
      </c>
      <c r="B465" s="46" t="s">
        <v>1478</v>
      </c>
    </row>
    <row r="466" spans="1:2">
      <c r="A466" s="40" t="s">
        <v>1479</v>
      </c>
      <c r="B466" s="46" t="s">
        <v>1480</v>
      </c>
    </row>
    <row r="467" spans="1:2">
      <c r="A467" s="40" t="s">
        <v>1481</v>
      </c>
      <c r="B467" s="46" t="s">
        <v>1482</v>
      </c>
    </row>
    <row r="468" spans="1:2">
      <c r="A468" s="40" t="s">
        <v>1483</v>
      </c>
      <c r="B468" s="46" t="s">
        <v>1484</v>
      </c>
    </row>
    <row r="469" spans="1:2">
      <c r="A469" s="40" t="s">
        <v>1485</v>
      </c>
      <c r="B469" s="46" t="s">
        <v>1486</v>
      </c>
    </row>
    <row r="470" spans="1:2">
      <c r="A470" s="40" t="s">
        <v>1487</v>
      </c>
      <c r="B470" s="46" t="s">
        <v>1488</v>
      </c>
    </row>
    <row r="471" spans="1:2">
      <c r="A471" s="40" t="s">
        <v>1489</v>
      </c>
      <c r="B471" s="46" t="s">
        <v>1490</v>
      </c>
    </row>
    <row r="472" spans="1:2">
      <c r="A472" s="40" t="s">
        <v>1491</v>
      </c>
      <c r="B472" s="46" t="s">
        <v>1492</v>
      </c>
    </row>
    <row r="473" spans="1:2">
      <c r="A473" s="40" t="s">
        <v>1493</v>
      </c>
      <c r="B473" s="46" t="s">
        <v>1494</v>
      </c>
    </row>
    <row r="474" spans="1:2">
      <c r="A474" s="40" t="s">
        <v>1495</v>
      </c>
      <c r="B474" s="47" t="s">
        <v>1496</v>
      </c>
    </row>
    <row r="475" spans="1:2">
      <c r="A475" s="40" t="s">
        <v>1497</v>
      </c>
      <c r="B475" s="46" t="s">
        <v>1498</v>
      </c>
    </row>
    <row r="476" spans="1:2">
      <c r="A476" s="40" t="s">
        <v>1499</v>
      </c>
      <c r="B476" s="46" t="s">
        <v>1500</v>
      </c>
    </row>
    <row r="477" spans="1:2">
      <c r="A477" s="40" t="s">
        <v>1501</v>
      </c>
      <c r="B477" s="46" t="s">
        <v>1502</v>
      </c>
    </row>
    <row r="478" spans="1:2">
      <c r="A478" s="40" t="s">
        <v>1503</v>
      </c>
      <c r="B478" s="46" t="s">
        <v>1504</v>
      </c>
    </row>
    <row r="479" spans="1:2">
      <c r="A479" s="40" t="s">
        <v>1505</v>
      </c>
      <c r="B479" s="46" t="s">
        <v>1506</v>
      </c>
    </row>
    <row r="480" spans="1:2">
      <c r="A480" s="40" t="s">
        <v>1507</v>
      </c>
      <c r="B480" s="46" t="s">
        <v>1508</v>
      </c>
    </row>
    <row r="481" spans="1:2">
      <c r="A481" s="40" t="s">
        <v>1509</v>
      </c>
      <c r="B481" s="46" t="s">
        <v>1510</v>
      </c>
    </row>
    <row r="482" spans="1:2">
      <c r="A482" s="40" t="s">
        <v>1511</v>
      </c>
      <c r="B482" s="46" t="s">
        <v>1512</v>
      </c>
    </row>
    <row r="483" spans="1:2">
      <c r="A483" s="40" t="s">
        <v>1513</v>
      </c>
      <c r="B483" s="46" t="s">
        <v>1514</v>
      </c>
    </row>
    <row r="484" spans="1:2">
      <c r="A484" s="40" t="s">
        <v>1515</v>
      </c>
      <c r="B484" s="46" t="s">
        <v>1516</v>
      </c>
    </row>
    <row r="485" spans="1:2">
      <c r="A485" s="40" t="s">
        <v>1517</v>
      </c>
      <c r="B485" s="46" t="s">
        <v>1518</v>
      </c>
    </row>
    <row r="486" spans="1:2">
      <c r="A486" s="40" t="s">
        <v>1519</v>
      </c>
      <c r="B486" s="46" t="s">
        <v>1520</v>
      </c>
    </row>
    <row r="487" spans="1:2">
      <c r="A487" s="40" t="s">
        <v>1521</v>
      </c>
      <c r="B487" s="46" t="s">
        <v>1522</v>
      </c>
    </row>
    <row r="488" spans="1:2">
      <c r="A488" s="40" t="s">
        <v>1523</v>
      </c>
      <c r="B488" s="46" t="s">
        <v>1524</v>
      </c>
    </row>
    <row r="489" spans="1:2">
      <c r="A489" s="40" t="s">
        <v>1525</v>
      </c>
      <c r="B489" s="47" t="s">
        <v>1526</v>
      </c>
    </row>
    <row r="490" spans="1:2">
      <c r="A490" s="40" t="s">
        <v>1527</v>
      </c>
      <c r="B490" s="46" t="s">
        <v>1528</v>
      </c>
    </row>
    <row r="491" spans="1:2">
      <c r="A491" s="40" t="s">
        <v>1529</v>
      </c>
      <c r="B491" s="46" t="s">
        <v>1530</v>
      </c>
    </row>
    <row r="492" spans="1:2">
      <c r="A492" s="40" t="s">
        <v>1531</v>
      </c>
      <c r="B492" s="46" t="s">
        <v>1532</v>
      </c>
    </row>
    <row r="493" spans="1:2">
      <c r="A493" s="40" t="s">
        <v>1533</v>
      </c>
      <c r="B493" s="46" t="s">
        <v>1534</v>
      </c>
    </row>
    <row r="494" spans="1:2">
      <c r="A494" s="40" t="s">
        <v>1535</v>
      </c>
      <c r="B494" s="46" t="s">
        <v>1536</v>
      </c>
    </row>
    <row r="495" spans="1:2">
      <c r="A495" s="40" t="s">
        <v>1537</v>
      </c>
      <c r="B495" s="46" t="s">
        <v>1320</v>
      </c>
    </row>
    <row r="496" spans="1:2">
      <c r="A496" s="40" t="s">
        <v>1538</v>
      </c>
      <c r="B496" s="46" t="s">
        <v>1539</v>
      </c>
    </row>
    <row r="497" spans="1:2">
      <c r="A497" s="40" t="s">
        <v>1540</v>
      </c>
      <c r="B497" s="46" t="s">
        <v>1541</v>
      </c>
    </row>
    <row r="498" spans="1:2">
      <c r="A498" s="40" t="s">
        <v>1542</v>
      </c>
      <c r="B498" s="46" t="s">
        <v>1543</v>
      </c>
    </row>
    <row r="499" spans="1:2">
      <c r="A499" s="40" t="s">
        <v>1544</v>
      </c>
      <c r="B499" s="46" t="s">
        <v>1545</v>
      </c>
    </row>
    <row r="500" spans="1:2">
      <c r="A500" s="40" t="s">
        <v>1546</v>
      </c>
      <c r="B500" s="46" t="s">
        <v>1547</v>
      </c>
    </row>
    <row r="501" spans="1:2">
      <c r="A501" s="40" t="s">
        <v>1548</v>
      </c>
      <c r="B501" s="46" t="s">
        <v>1549</v>
      </c>
    </row>
    <row r="502" spans="1:2">
      <c r="A502" s="40" t="s">
        <v>1550</v>
      </c>
      <c r="B502" s="46" t="s">
        <v>1551</v>
      </c>
    </row>
    <row r="503" spans="1:2">
      <c r="A503" s="40" t="s">
        <v>1552</v>
      </c>
      <c r="B503" s="46" t="s">
        <v>1553</v>
      </c>
    </row>
    <row r="504" spans="1:2">
      <c r="A504" s="40" t="s">
        <v>1554</v>
      </c>
      <c r="B504" s="46" t="s">
        <v>1555</v>
      </c>
    </row>
    <row r="505" spans="1:2">
      <c r="A505" s="40" t="s">
        <v>1556</v>
      </c>
      <c r="B505" s="46" t="s">
        <v>1557</v>
      </c>
    </row>
    <row r="506" spans="1:2">
      <c r="A506" s="40" t="s">
        <v>1558</v>
      </c>
      <c r="B506" s="46" t="s">
        <v>1559</v>
      </c>
    </row>
    <row r="507" spans="1:2">
      <c r="A507" s="40" t="s">
        <v>1560</v>
      </c>
      <c r="B507" s="46" t="s">
        <v>1561</v>
      </c>
    </row>
    <row r="508" spans="1:2">
      <c r="A508" s="40" t="s">
        <v>1562</v>
      </c>
      <c r="B508" s="46" t="s">
        <v>1563</v>
      </c>
    </row>
    <row r="509" spans="1:2">
      <c r="A509" s="40" t="s">
        <v>1564</v>
      </c>
      <c r="B509" s="46" t="s">
        <v>1565</v>
      </c>
    </row>
    <row r="510" spans="1:2">
      <c r="A510" s="40" t="s">
        <v>1566</v>
      </c>
      <c r="B510" s="46" t="s">
        <v>1567</v>
      </c>
    </row>
    <row r="511" spans="1:2">
      <c r="A511" s="40" t="s">
        <v>1568</v>
      </c>
      <c r="B511" s="46" t="s">
        <v>1320</v>
      </c>
    </row>
    <row r="512" spans="1:2">
      <c r="A512" s="40" t="s">
        <v>1569</v>
      </c>
      <c r="B512" s="46" t="s">
        <v>1570</v>
      </c>
    </row>
    <row r="513" spans="1:2">
      <c r="A513" s="40" t="s">
        <v>1571</v>
      </c>
      <c r="B513" s="46" t="s">
        <v>1320</v>
      </c>
    </row>
    <row r="514" spans="1:2">
      <c r="A514" s="40" t="s">
        <v>1572</v>
      </c>
      <c r="B514" s="46" t="s">
        <v>1320</v>
      </c>
    </row>
    <row r="515" spans="1:2">
      <c r="A515" s="40" t="s">
        <v>1573</v>
      </c>
      <c r="B515" s="46" t="s">
        <v>1574</v>
      </c>
    </row>
    <row r="516" spans="1:2">
      <c r="A516" s="40" t="s">
        <v>1575</v>
      </c>
      <c r="B516" s="46" t="s">
        <v>1576</v>
      </c>
    </row>
    <row r="517" spans="1:2">
      <c r="A517" s="40" t="s">
        <v>1577</v>
      </c>
      <c r="B517" s="46" t="s">
        <v>1578</v>
      </c>
    </row>
    <row r="518" spans="1:2">
      <c r="A518" s="40" t="s">
        <v>1579</v>
      </c>
      <c r="B518" s="46" t="s">
        <v>1580</v>
      </c>
    </row>
    <row r="519" spans="1:2">
      <c r="A519" s="40" t="s">
        <v>1581</v>
      </c>
      <c r="B519" s="46" t="s">
        <v>1582</v>
      </c>
    </row>
    <row r="520" spans="1:2">
      <c r="A520" s="40" t="s">
        <v>1583</v>
      </c>
      <c r="B520" s="46" t="s">
        <v>1584</v>
      </c>
    </row>
    <row r="521" spans="1:2">
      <c r="A521" s="40" t="s">
        <v>1585</v>
      </c>
      <c r="B521" s="46" t="s">
        <v>1586</v>
      </c>
    </row>
    <row r="522" spans="1:2">
      <c r="A522" s="40" t="s">
        <v>1587</v>
      </c>
      <c r="B522" s="46" t="s">
        <v>1588</v>
      </c>
    </row>
    <row r="523" spans="1:2">
      <c r="A523" s="40" t="s">
        <v>1589</v>
      </c>
      <c r="B523" s="46" t="s">
        <v>1590</v>
      </c>
    </row>
    <row r="524" spans="1:2">
      <c r="A524" s="40" t="s">
        <v>1591</v>
      </c>
      <c r="B524" s="46" t="s">
        <v>1592</v>
      </c>
    </row>
    <row r="525" spans="1:2">
      <c r="A525" s="40" t="s">
        <v>1593</v>
      </c>
      <c r="B525" s="46" t="s">
        <v>1594</v>
      </c>
    </row>
    <row r="526" spans="1:2">
      <c r="A526" s="40" t="s">
        <v>1595</v>
      </c>
      <c r="B526" s="46" t="s">
        <v>1596</v>
      </c>
    </row>
    <row r="527" spans="1:2">
      <c r="A527" s="40" t="s">
        <v>1597</v>
      </c>
      <c r="B527" s="46" t="s">
        <v>1598</v>
      </c>
    </row>
    <row r="528" spans="1:2">
      <c r="A528" s="40" t="s">
        <v>1599</v>
      </c>
      <c r="B528" s="46" t="s">
        <v>1600</v>
      </c>
    </row>
    <row r="529" spans="1:2">
      <c r="A529" s="40" t="s">
        <v>1601</v>
      </c>
      <c r="B529" s="46" t="s">
        <v>1320</v>
      </c>
    </row>
    <row r="530" spans="1:2">
      <c r="A530" s="40" t="s">
        <v>1602</v>
      </c>
      <c r="B530" s="46" t="s">
        <v>1603</v>
      </c>
    </row>
    <row r="531" spans="1:2">
      <c r="A531" s="40" t="s">
        <v>1604</v>
      </c>
      <c r="B531" s="47" t="s">
        <v>1605</v>
      </c>
    </row>
    <row r="532" spans="1:2">
      <c r="A532" s="40" t="s">
        <v>1606</v>
      </c>
      <c r="B532" s="47" t="s">
        <v>1607</v>
      </c>
    </row>
    <row r="533" spans="1:2">
      <c r="A533" s="40" t="s">
        <v>1608</v>
      </c>
      <c r="B533" s="46" t="s">
        <v>1609</v>
      </c>
    </row>
    <row r="534" spans="1:2">
      <c r="A534" s="40" t="s">
        <v>1610</v>
      </c>
      <c r="B534" s="46" t="s">
        <v>1611</v>
      </c>
    </row>
    <row r="535" spans="1:2">
      <c r="A535" s="40" t="s">
        <v>1612</v>
      </c>
      <c r="B535" s="46" t="s">
        <v>1613</v>
      </c>
    </row>
    <row r="536" spans="1:2">
      <c r="A536" s="40" t="s">
        <v>1614</v>
      </c>
      <c r="B536" s="46" t="s">
        <v>1615</v>
      </c>
    </row>
    <row r="537" spans="1:2">
      <c r="A537" s="40" t="s">
        <v>1616</v>
      </c>
      <c r="B537" s="46" t="s">
        <v>1320</v>
      </c>
    </row>
    <row r="538" spans="1:2">
      <c r="A538" s="40" t="s">
        <v>1617</v>
      </c>
      <c r="B538" s="46" t="s">
        <v>1320</v>
      </c>
    </row>
    <row r="539" spans="1:2">
      <c r="A539" s="40" t="s">
        <v>1618</v>
      </c>
      <c r="B539" s="46" t="s">
        <v>1619</v>
      </c>
    </row>
    <row r="540" spans="1:2">
      <c r="A540" s="40" t="s">
        <v>1620</v>
      </c>
      <c r="B540" s="46" t="s">
        <v>1621</v>
      </c>
    </row>
    <row r="541" spans="1:2">
      <c r="A541" s="40" t="s">
        <v>1622</v>
      </c>
      <c r="B541" s="46" t="s">
        <v>1623</v>
      </c>
    </row>
    <row r="542" spans="1:2">
      <c r="A542" s="40" t="s">
        <v>1624</v>
      </c>
      <c r="B542" s="46" t="s">
        <v>1625</v>
      </c>
    </row>
    <row r="543" spans="1:2">
      <c r="A543" s="40" t="s">
        <v>1626</v>
      </c>
      <c r="B543" s="46" t="s">
        <v>1627</v>
      </c>
    </row>
    <row r="544" spans="1:2">
      <c r="A544" s="40" t="s">
        <v>1628</v>
      </c>
      <c r="B544" s="46" t="s">
        <v>1629</v>
      </c>
    </row>
    <row r="545" spans="1:2">
      <c r="A545" s="40" t="s">
        <v>1630</v>
      </c>
      <c r="B545" s="46" t="s">
        <v>1631</v>
      </c>
    </row>
    <row r="546" spans="1:2">
      <c r="A546" s="40" t="s">
        <v>1632</v>
      </c>
      <c r="B546" s="47" t="s">
        <v>1633</v>
      </c>
    </row>
    <row r="547" spans="1:2">
      <c r="A547" s="40" t="s">
        <v>1634</v>
      </c>
      <c r="B547" s="46" t="s">
        <v>1635</v>
      </c>
    </row>
    <row r="548" spans="1:2">
      <c r="A548" s="40" t="s">
        <v>1636</v>
      </c>
      <c r="B548" s="46" t="s">
        <v>1637</v>
      </c>
    </row>
    <row r="549" spans="1:2">
      <c r="A549" s="40" t="s">
        <v>1638</v>
      </c>
      <c r="B549" s="46" t="s">
        <v>1639</v>
      </c>
    </row>
    <row r="550" spans="1:2">
      <c r="A550" s="40" t="s">
        <v>1640</v>
      </c>
      <c r="B550" s="46" t="s">
        <v>1641</v>
      </c>
    </row>
    <row r="551" spans="1:2">
      <c r="A551" s="40" t="s">
        <v>1642</v>
      </c>
      <c r="B551" s="47" t="s">
        <v>1643</v>
      </c>
    </row>
    <row r="552" spans="1:2">
      <c r="A552" s="40" t="s">
        <v>1644</v>
      </c>
      <c r="B552" s="46" t="s">
        <v>1645</v>
      </c>
    </row>
    <row r="553" spans="1:2">
      <c r="A553" s="40" t="s">
        <v>1646</v>
      </c>
      <c r="B553" s="46" t="s">
        <v>1647</v>
      </c>
    </row>
    <row r="554" spans="1:2">
      <c r="A554" s="40" t="s">
        <v>1648</v>
      </c>
      <c r="B554" s="47" t="s">
        <v>1649</v>
      </c>
    </row>
    <row r="555" spans="1:2">
      <c r="A555" s="40" t="s">
        <v>1650</v>
      </c>
      <c r="B555" s="46" t="s">
        <v>1651</v>
      </c>
    </row>
    <row r="556" spans="1:2">
      <c r="A556" s="40" t="s">
        <v>1652</v>
      </c>
      <c r="B556" s="46" t="s">
        <v>1653</v>
      </c>
    </row>
    <row r="557" spans="1:2">
      <c r="A557" s="40" t="s">
        <v>1654</v>
      </c>
      <c r="B557" s="46" t="s">
        <v>1655</v>
      </c>
    </row>
    <row r="558" spans="1:2">
      <c r="A558" s="40" t="s">
        <v>1656</v>
      </c>
      <c r="B558" s="46" t="s">
        <v>1657</v>
      </c>
    </row>
    <row r="559" spans="1:2">
      <c r="A559" s="40" t="s">
        <v>1658</v>
      </c>
      <c r="B559" s="46" t="s">
        <v>1659</v>
      </c>
    </row>
    <row r="560" spans="1:2">
      <c r="A560" s="40" t="s">
        <v>1660</v>
      </c>
      <c r="B560" s="46" t="s">
        <v>1661</v>
      </c>
    </row>
    <row r="561" spans="1:2">
      <c r="A561" s="40" t="s">
        <v>1662</v>
      </c>
      <c r="B561" s="46" t="s">
        <v>1663</v>
      </c>
    </row>
    <row r="562" spans="1:2">
      <c r="A562" s="40" t="s">
        <v>1664</v>
      </c>
      <c r="B562" s="46" t="s">
        <v>1320</v>
      </c>
    </row>
    <row r="563" spans="1:2">
      <c r="A563" s="40" t="s">
        <v>1665</v>
      </c>
      <c r="B563" s="46" t="s">
        <v>1666</v>
      </c>
    </row>
    <row r="564" spans="1:2">
      <c r="A564" s="40" t="s">
        <v>1667</v>
      </c>
      <c r="B564" s="46" t="s">
        <v>1668</v>
      </c>
    </row>
    <row r="565" spans="1:2">
      <c r="A565" s="40" t="s">
        <v>1669</v>
      </c>
      <c r="B565" s="47" t="s">
        <v>1670</v>
      </c>
    </row>
    <row r="566" spans="1:2">
      <c r="A566" s="40" t="s">
        <v>1671</v>
      </c>
      <c r="B566" s="46" t="s">
        <v>1672</v>
      </c>
    </row>
    <row r="567" spans="1:2">
      <c r="A567" s="40" t="s">
        <v>1673</v>
      </c>
      <c r="B567" s="46" t="s">
        <v>1320</v>
      </c>
    </row>
    <row r="568" spans="1:2">
      <c r="A568" s="40" t="s">
        <v>1674</v>
      </c>
      <c r="B568" s="46" t="s">
        <v>1675</v>
      </c>
    </row>
    <row r="569" spans="1:2">
      <c r="A569" s="40" t="s">
        <v>1676</v>
      </c>
      <c r="B569" s="46" t="s">
        <v>1677</v>
      </c>
    </row>
    <row r="570" spans="1:2">
      <c r="A570" s="40" t="s">
        <v>1678</v>
      </c>
      <c r="B570" s="46" t="s">
        <v>1679</v>
      </c>
    </row>
    <row r="571" spans="1:2">
      <c r="A571" s="40" t="s">
        <v>1680</v>
      </c>
      <c r="B571" s="46" t="s">
        <v>1681</v>
      </c>
    </row>
    <row r="572" spans="1:2">
      <c r="A572" s="40" t="s">
        <v>1682</v>
      </c>
      <c r="B572" s="46" t="s">
        <v>1683</v>
      </c>
    </row>
    <row r="573" spans="1:2">
      <c r="A573" s="40" t="s">
        <v>1684</v>
      </c>
      <c r="B573" s="47" t="s">
        <v>1685</v>
      </c>
    </row>
    <row r="574" spans="1:2">
      <c r="A574" s="40" t="s">
        <v>1686</v>
      </c>
      <c r="B574" s="47" t="s">
        <v>1687</v>
      </c>
    </row>
    <row r="575" spans="1:2">
      <c r="A575" s="40" t="s">
        <v>1688</v>
      </c>
      <c r="B575" s="47" t="s">
        <v>1689</v>
      </c>
    </row>
    <row r="576" spans="1:2">
      <c r="A576" s="40" t="s">
        <v>1690</v>
      </c>
      <c r="B576" s="46" t="s">
        <v>1691</v>
      </c>
    </row>
    <row r="577" spans="1:2">
      <c r="A577" s="40" t="s">
        <v>1692</v>
      </c>
      <c r="B577" s="46" t="s">
        <v>1693</v>
      </c>
    </row>
    <row r="578" spans="1:2">
      <c r="A578" s="40" t="s">
        <v>1694</v>
      </c>
      <c r="B578" s="46" t="s">
        <v>1695</v>
      </c>
    </row>
    <row r="579" spans="1:2">
      <c r="A579" s="40" t="s">
        <v>1696</v>
      </c>
      <c r="B579" s="46" t="s">
        <v>1697</v>
      </c>
    </row>
    <row r="580" spans="1:2">
      <c r="A580" s="40" t="s">
        <v>1698</v>
      </c>
      <c r="B580" s="46" t="s">
        <v>1699</v>
      </c>
    </row>
    <row r="581" spans="1:2">
      <c r="A581" s="40" t="s">
        <v>1700</v>
      </c>
      <c r="B581" s="46" t="s">
        <v>1701</v>
      </c>
    </row>
    <row r="582" spans="1:2">
      <c r="A582" s="40" t="s">
        <v>1702</v>
      </c>
      <c r="B582" s="46" t="s">
        <v>1703</v>
      </c>
    </row>
    <row r="583" spans="1:2">
      <c r="A583" s="40" t="s">
        <v>1704</v>
      </c>
      <c r="B583" s="46" t="s">
        <v>1705</v>
      </c>
    </row>
    <row r="584" spans="1:2">
      <c r="A584" s="40" t="s">
        <v>1706</v>
      </c>
      <c r="B584" s="46" t="s">
        <v>1707</v>
      </c>
    </row>
    <row r="585" spans="1:2">
      <c r="A585" s="40" t="s">
        <v>1708</v>
      </c>
      <c r="B585" s="46" t="s">
        <v>1709</v>
      </c>
    </row>
    <row r="586" spans="1:2">
      <c r="A586" s="40" t="s">
        <v>1710</v>
      </c>
      <c r="B586" s="46" t="s">
        <v>1320</v>
      </c>
    </row>
    <row r="587" spans="1:2">
      <c r="A587" s="40" t="s">
        <v>1711</v>
      </c>
      <c r="B587" s="46" t="s">
        <v>1712</v>
      </c>
    </row>
    <row r="588" spans="1:2">
      <c r="A588" s="40" t="s">
        <v>1713</v>
      </c>
      <c r="B588" s="46" t="s">
        <v>1714</v>
      </c>
    </row>
    <row r="589" spans="1:2">
      <c r="A589" s="40" t="s">
        <v>1715</v>
      </c>
      <c r="B589" s="46" t="s">
        <v>1716</v>
      </c>
    </row>
    <row r="590" spans="1:2">
      <c r="A590" s="40" t="s">
        <v>1717</v>
      </c>
      <c r="B590" s="46" t="s">
        <v>1718</v>
      </c>
    </row>
    <row r="591" spans="1:2">
      <c r="A591" s="40" t="s">
        <v>1719</v>
      </c>
      <c r="B591" s="46" t="s">
        <v>1720</v>
      </c>
    </row>
    <row r="592" spans="1:2">
      <c r="A592" s="40" t="s">
        <v>1721</v>
      </c>
      <c r="B592" s="46" t="s">
        <v>1722</v>
      </c>
    </row>
    <row r="593" spans="1:2">
      <c r="A593" s="40" t="s">
        <v>1723</v>
      </c>
      <c r="B593" s="46" t="s">
        <v>1724</v>
      </c>
    </row>
    <row r="594" spans="1:2">
      <c r="A594" s="40" t="s">
        <v>1725</v>
      </c>
      <c r="B594" s="46" t="s">
        <v>1726</v>
      </c>
    </row>
    <row r="595" spans="1:2">
      <c r="A595" s="40" t="s">
        <v>1727</v>
      </c>
      <c r="B595" s="46" t="s">
        <v>1728</v>
      </c>
    </row>
    <row r="596" spans="1:2">
      <c r="A596" s="40" t="s">
        <v>1729</v>
      </c>
      <c r="B596" s="46" t="s">
        <v>1730</v>
      </c>
    </row>
    <row r="597" spans="1:2">
      <c r="A597" s="40" t="s">
        <v>1731</v>
      </c>
      <c r="B597" s="46" t="s">
        <v>1732</v>
      </c>
    </row>
    <row r="598" spans="1:2">
      <c r="A598" s="40" t="s">
        <v>1733</v>
      </c>
      <c r="B598" s="47" t="s">
        <v>1734</v>
      </c>
    </row>
    <row r="599" spans="1:2">
      <c r="A599" s="40" t="s">
        <v>1735</v>
      </c>
      <c r="B599" s="46" t="s">
        <v>1736</v>
      </c>
    </row>
    <row r="600" spans="1:2">
      <c r="A600" s="40" t="s">
        <v>1737</v>
      </c>
      <c r="B600" s="46" t="s">
        <v>1738</v>
      </c>
    </row>
    <row r="601" spans="1:2">
      <c r="A601" s="40" t="s">
        <v>1739</v>
      </c>
      <c r="B601" s="46" t="s">
        <v>1740</v>
      </c>
    </row>
    <row r="602" spans="1:2">
      <c r="A602" s="40" t="s">
        <v>1741</v>
      </c>
      <c r="B602" s="46" t="s">
        <v>1742</v>
      </c>
    </row>
    <row r="603" spans="1:2">
      <c r="A603" s="40" t="s">
        <v>1743</v>
      </c>
      <c r="B603" s="46" t="s">
        <v>1744</v>
      </c>
    </row>
    <row r="604" spans="1:2">
      <c r="A604" s="40" t="s">
        <v>1745</v>
      </c>
      <c r="B604" s="47" t="s">
        <v>1746</v>
      </c>
    </row>
    <row r="605" spans="1:2">
      <c r="A605" s="40" t="s">
        <v>1747</v>
      </c>
      <c r="B605" s="46" t="s">
        <v>1748</v>
      </c>
    </row>
    <row r="606" spans="1:2">
      <c r="A606" s="40" t="s">
        <v>1749</v>
      </c>
      <c r="B606" s="46" t="s">
        <v>1320</v>
      </c>
    </row>
    <row r="607" spans="1:2">
      <c r="A607" s="40" t="s">
        <v>1750</v>
      </c>
      <c r="B607" s="46" t="s">
        <v>1751</v>
      </c>
    </row>
    <row r="608" spans="1:2">
      <c r="A608" s="40" t="s">
        <v>1752</v>
      </c>
      <c r="B608" s="46" t="s">
        <v>1753</v>
      </c>
    </row>
    <row r="609" spans="1:2">
      <c r="A609" s="40" t="s">
        <v>1754</v>
      </c>
      <c r="B609" s="46" t="s">
        <v>1755</v>
      </c>
    </row>
    <row r="610" spans="1:2">
      <c r="A610" s="40" t="s">
        <v>1756</v>
      </c>
      <c r="B610" s="46" t="s">
        <v>1757</v>
      </c>
    </row>
    <row r="611" spans="1:2">
      <c r="A611" s="40" t="s">
        <v>1758</v>
      </c>
      <c r="B611" s="46" t="s">
        <v>1759</v>
      </c>
    </row>
    <row r="612" spans="1:2">
      <c r="A612" s="40" t="s">
        <v>1760</v>
      </c>
      <c r="B612" s="46" t="s">
        <v>1761</v>
      </c>
    </row>
    <row r="613" spans="1:2">
      <c r="A613" s="40" t="s">
        <v>1762</v>
      </c>
      <c r="B613" s="46" t="s">
        <v>1763</v>
      </c>
    </row>
    <row r="614" spans="1:2">
      <c r="A614" s="40" t="s">
        <v>1764</v>
      </c>
      <c r="B614" s="46" t="s">
        <v>1765</v>
      </c>
    </row>
    <row r="615" spans="1:2">
      <c r="A615" s="40" t="s">
        <v>1766</v>
      </c>
      <c r="B615" s="46" t="s">
        <v>1767</v>
      </c>
    </row>
    <row r="616" spans="1:2">
      <c r="A616" s="40" t="s">
        <v>1768</v>
      </c>
      <c r="B616" s="46" t="s">
        <v>1769</v>
      </c>
    </row>
    <row r="617" spans="1:2">
      <c r="A617" s="40" t="s">
        <v>1770</v>
      </c>
      <c r="B617" s="46" t="s">
        <v>1771</v>
      </c>
    </row>
    <row r="618" spans="1:2">
      <c r="A618" s="40" t="s">
        <v>1772</v>
      </c>
      <c r="B618" s="46" t="s">
        <v>1773</v>
      </c>
    </row>
    <row r="619" spans="1:2">
      <c r="A619" s="40" t="s">
        <v>1774</v>
      </c>
      <c r="B619" s="46" t="s">
        <v>1775</v>
      </c>
    </row>
    <row r="620" spans="1:2">
      <c r="A620" s="40" t="s">
        <v>1776</v>
      </c>
      <c r="B620" s="46" t="s">
        <v>1777</v>
      </c>
    </row>
    <row r="621" spans="1:2">
      <c r="A621" s="40" t="s">
        <v>1778</v>
      </c>
      <c r="B621" s="46" t="s">
        <v>1779</v>
      </c>
    </row>
    <row r="622" spans="1:2">
      <c r="A622" s="40" t="s">
        <v>1780</v>
      </c>
      <c r="B622" s="46" t="s">
        <v>1781</v>
      </c>
    </row>
    <row r="623" spans="1:2">
      <c r="A623" s="40" t="s">
        <v>1782</v>
      </c>
      <c r="B623" s="46" t="s">
        <v>1783</v>
      </c>
    </row>
    <row r="624" spans="1:2">
      <c r="A624" s="40" t="s">
        <v>1784</v>
      </c>
      <c r="B624" s="46" t="s">
        <v>1785</v>
      </c>
    </row>
    <row r="625" spans="1:2">
      <c r="A625" s="40" t="s">
        <v>1786</v>
      </c>
      <c r="B625" s="46" t="s">
        <v>1787</v>
      </c>
    </row>
    <row r="626" spans="1:2">
      <c r="A626" s="40" t="s">
        <v>1788</v>
      </c>
      <c r="B626" s="46" t="s">
        <v>1789</v>
      </c>
    </row>
    <row r="627" spans="1:2">
      <c r="A627" s="40" t="s">
        <v>1790</v>
      </c>
      <c r="B627" s="46" t="s">
        <v>1791</v>
      </c>
    </row>
    <row r="628" spans="1:2">
      <c r="A628" s="40" t="s">
        <v>1792</v>
      </c>
      <c r="B628" s="46" t="s">
        <v>1793</v>
      </c>
    </row>
    <row r="629" spans="1:2">
      <c r="A629" s="40" t="s">
        <v>1794</v>
      </c>
      <c r="B629" s="46" t="s">
        <v>1795</v>
      </c>
    </row>
    <row r="630" spans="1:2">
      <c r="A630" s="40" t="s">
        <v>1796</v>
      </c>
      <c r="B630" s="46" t="s">
        <v>1797</v>
      </c>
    </row>
    <row r="631" spans="1:2" ht="27.95">
      <c r="A631" s="41" t="s">
        <v>1798</v>
      </c>
      <c r="B631" s="45" t="s">
        <v>1799</v>
      </c>
    </row>
    <row r="632" spans="1:2" ht="27.95">
      <c r="A632" s="41" t="s">
        <v>1800</v>
      </c>
      <c r="B632" s="45" t="s">
        <v>1801</v>
      </c>
    </row>
    <row r="633" spans="1:2" ht="27.95">
      <c r="A633" s="41" t="s">
        <v>1802</v>
      </c>
      <c r="B633" s="45" t="s">
        <v>1803</v>
      </c>
    </row>
    <row r="634" spans="1:2" ht="27.95">
      <c r="A634" s="41" t="s">
        <v>1804</v>
      </c>
      <c r="B634" s="45" t="s">
        <v>1805</v>
      </c>
    </row>
    <row r="635" spans="1:2" ht="56.1">
      <c r="A635" s="42" t="s">
        <v>1806</v>
      </c>
      <c r="B635" s="43" t="s">
        <v>1807</v>
      </c>
    </row>
    <row r="636" spans="1:2" ht="56.1">
      <c r="A636" s="44" t="s">
        <v>1808</v>
      </c>
      <c r="B636" s="43" t="s">
        <v>1809</v>
      </c>
    </row>
    <row r="637" spans="1:2" ht="27.95">
      <c r="A637" s="42" t="s">
        <v>1810</v>
      </c>
      <c r="B637" s="43" t="s">
        <v>1811</v>
      </c>
    </row>
    <row r="638" spans="1:2" ht="42">
      <c r="A638" s="44" t="s">
        <v>1812</v>
      </c>
      <c r="B638" s="43" t="s">
        <v>1813</v>
      </c>
    </row>
    <row r="639" spans="1:2">
      <c r="A639" s="44" t="s">
        <v>1814</v>
      </c>
      <c r="B639" s="43" t="s">
        <v>1815</v>
      </c>
    </row>
    <row r="640" spans="1:2">
      <c r="A640" s="44" t="s">
        <v>1816</v>
      </c>
      <c r="B640" s="43" t="s">
        <v>1817</v>
      </c>
    </row>
    <row r="641" spans="1:2" ht="69.95">
      <c r="A641" s="44" t="s">
        <v>1818</v>
      </c>
      <c r="B641" s="43" t="s">
        <v>1819</v>
      </c>
    </row>
    <row r="642" spans="1:2" ht="69.95">
      <c r="A642" s="44" t="s">
        <v>1820</v>
      </c>
      <c r="B642" s="43" t="s">
        <v>1821</v>
      </c>
    </row>
    <row r="643" spans="1:2" ht="42">
      <c r="A643" s="42" t="s">
        <v>1822</v>
      </c>
      <c r="B643" s="43" t="s">
        <v>1823</v>
      </c>
    </row>
    <row r="644" spans="1:2" ht="27.95">
      <c r="A644" s="42" t="s">
        <v>1824</v>
      </c>
      <c r="B644" s="43" t="s">
        <v>1825</v>
      </c>
    </row>
    <row r="645" spans="1:2" ht="27.95">
      <c r="A645" s="42" t="s">
        <v>1826</v>
      </c>
      <c r="B645" s="43" t="s">
        <v>1827</v>
      </c>
    </row>
    <row r="646" spans="1:2" ht="27.95">
      <c r="A646" s="42" t="s">
        <v>1828</v>
      </c>
      <c r="B646" s="43" t="s">
        <v>1829</v>
      </c>
    </row>
    <row r="647" spans="1:2">
      <c r="A647" s="42" t="s">
        <v>1830</v>
      </c>
      <c r="B647" s="43" t="s">
        <v>1831</v>
      </c>
    </row>
    <row r="648" spans="1:2" ht="126">
      <c r="A648" s="42" t="s">
        <v>1832</v>
      </c>
      <c r="B648" s="43" t="s">
        <v>1833</v>
      </c>
    </row>
    <row r="649" spans="1:2" ht="27.95">
      <c r="A649" s="42" t="s">
        <v>1834</v>
      </c>
      <c r="B649" s="43" t="s">
        <v>1835</v>
      </c>
    </row>
    <row r="650" spans="1:2" ht="27.95">
      <c r="A650" s="42" t="s">
        <v>1836</v>
      </c>
      <c r="B650" s="43" t="s">
        <v>1837</v>
      </c>
    </row>
    <row r="651" spans="1:2" ht="42">
      <c r="A651" s="42" t="s">
        <v>1838</v>
      </c>
      <c r="B651" s="43" t="s">
        <v>1839</v>
      </c>
    </row>
    <row r="652" spans="1:2" ht="27.95">
      <c r="A652" s="42" t="s">
        <v>1840</v>
      </c>
      <c r="B652" s="43" t="s">
        <v>1841</v>
      </c>
    </row>
    <row r="653" spans="1:2" ht="42">
      <c r="A653" s="42" t="s">
        <v>1842</v>
      </c>
      <c r="B653" s="43" t="s">
        <v>1843</v>
      </c>
    </row>
    <row r="654" spans="1:2" ht="56.1">
      <c r="A654" s="42" t="s">
        <v>1844</v>
      </c>
      <c r="B654" s="43" t="s">
        <v>1845</v>
      </c>
    </row>
    <row r="655" spans="1:2" ht="42">
      <c r="A655" s="42" t="s">
        <v>1846</v>
      </c>
      <c r="B655" s="43" t="s">
        <v>1847</v>
      </c>
    </row>
    <row r="656" spans="1:2">
      <c r="A656" s="42" t="s">
        <v>1848</v>
      </c>
      <c r="B656" s="43" t="s">
        <v>1849</v>
      </c>
    </row>
    <row r="657" spans="1:2" ht="42">
      <c r="A657" s="42" t="s">
        <v>1850</v>
      </c>
      <c r="B657" s="43" t="s">
        <v>1851</v>
      </c>
    </row>
    <row r="658" spans="1:2" ht="27.95">
      <c r="A658" s="42" t="s">
        <v>1852</v>
      </c>
      <c r="B658" s="43" t="s">
        <v>1853</v>
      </c>
    </row>
    <row r="659" spans="1:2" ht="27.95">
      <c r="A659" s="42" t="s">
        <v>1854</v>
      </c>
      <c r="B659" s="43" t="s">
        <v>1855</v>
      </c>
    </row>
    <row r="660" spans="1:2">
      <c r="A660" s="58" t="s">
        <v>1856</v>
      </c>
      <c r="B660" s="43" t="s">
        <v>1857</v>
      </c>
    </row>
    <row r="661" spans="1:2">
      <c r="A661" s="58">
        <v>1.1000000000000001</v>
      </c>
      <c r="B661" s="43" t="s">
        <v>1858</v>
      </c>
    </row>
    <row r="662" spans="1:2">
      <c r="A662" s="58" t="s">
        <v>1859</v>
      </c>
      <c r="B662" s="43" t="s">
        <v>1860</v>
      </c>
    </row>
    <row r="663" spans="1:2">
      <c r="A663" s="58" t="s">
        <v>1861</v>
      </c>
      <c r="B663" s="43" t="s">
        <v>1862</v>
      </c>
    </row>
    <row r="664" spans="1:2">
      <c r="A664" s="58" t="s">
        <v>1863</v>
      </c>
      <c r="B664" s="43" t="s">
        <v>1864</v>
      </c>
    </row>
    <row r="665" spans="1:2">
      <c r="A665" s="58" t="s">
        <v>1865</v>
      </c>
      <c r="B665" s="43" t="s">
        <v>1866</v>
      </c>
    </row>
    <row r="666" spans="1:2">
      <c r="A666" s="58" t="s">
        <v>1867</v>
      </c>
      <c r="B666" s="43" t="s">
        <v>1868</v>
      </c>
    </row>
    <row r="667" spans="1:2">
      <c r="A667" s="58" t="s">
        <v>1869</v>
      </c>
      <c r="B667" s="43" t="s">
        <v>1870</v>
      </c>
    </row>
    <row r="668" spans="1:2">
      <c r="A668" s="58" t="s">
        <v>1871</v>
      </c>
      <c r="B668" s="43" t="s">
        <v>1872</v>
      </c>
    </row>
    <row r="669" spans="1:2">
      <c r="A669" s="58">
        <v>1.2</v>
      </c>
      <c r="B669" s="43" t="s">
        <v>1873</v>
      </c>
    </row>
    <row r="670" spans="1:2">
      <c r="A670" s="58" t="s">
        <v>1874</v>
      </c>
      <c r="B670" s="43" t="s">
        <v>1875</v>
      </c>
    </row>
    <row r="671" spans="1:2">
      <c r="A671" s="58" t="s">
        <v>1876</v>
      </c>
      <c r="B671" s="43" t="s">
        <v>1877</v>
      </c>
    </row>
    <row r="672" spans="1:2">
      <c r="A672" s="58" t="s">
        <v>1878</v>
      </c>
      <c r="B672" s="43" t="s">
        <v>1879</v>
      </c>
    </row>
    <row r="673" spans="1:2">
      <c r="A673" s="58">
        <v>1.3</v>
      </c>
      <c r="B673" s="43" t="s">
        <v>1880</v>
      </c>
    </row>
    <row r="674" spans="1:2">
      <c r="A674" s="58" t="s">
        <v>1881</v>
      </c>
      <c r="B674" s="43" t="s">
        <v>1882</v>
      </c>
    </row>
    <row r="675" spans="1:2">
      <c r="A675" s="58" t="s">
        <v>1883</v>
      </c>
      <c r="B675" s="43" t="s">
        <v>1884</v>
      </c>
    </row>
    <row r="676" spans="1:2">
      <c r="A676" s="58" t="s">
        <v>1885</v>
      </c>
      <c r="B676" s="43" t="s">
        <v>1886</v>
      </c>
    </row>
    <row r="677" spans="1:2">
      <c r="A677" s="58" t="s">
        <v>1887</v>
      </c>
      <c r="B677" s="43" t="s">
        <v>1888</v>
      </c>
    </row>
    <row r="678" spans="1:2">
      <c r="A678" s="58" t="s">
        <v>1889</v>
      </c>
      <c r="B678" s="43" t="s">
        <v>1890</v>
      </c>
    </row>
    <row r="679" spans="1:2">
      <c r="A679" s="58" t="s">
        <v>1891</v>
      </c>
      <c r="B679" s="43" t="s">
        <v>1892</v>
      </c>
    </row>
    <row r="680" spans="1:2">
      <c r="A680" s="58" t="s">
        <v>1893</v>
      </c>
      <c r="B680" s="43" t="s">
        <v>1894</v>
      </c>
    </row>
    <row r="681" spans="1:2">
      <c r="A681" s="58">
        <v>1.4</v>
      </c>
      <c r="B681" s="43" t="s">
        <v>1895</v>
      </c>
    </row>
    <row r="682" spans="1:2">
      <c r="A682" s="58">
        <v>1.5</v>
      </c>
      <c r="B682" s="43" t="s">
        <v>1896</v>
      </c>
    </row>
    <row r="683" spans="1:2">
      <c r="A683" s="58" t="s">
        <v>1897</v>
      </c>
      <c r="B683" s="43" t="s">
        <v>1898</v>
      </c>
    </row>
    <row r="684" spans="1:2">
      <c r="A684" s="58">
        <v>2.1</v>
      </c>
      <c r="B684" s="43" t="s">
        <v>1899</v>
      </c>
    </row>
    <row r="685" spans="1:2">
      <c r="A685" s="58" t="s">
        <v>1900</v>
      </c>
      <c r="B685" s="43" t="s">
        <v>1901</v>
      </c>
    </row>
    <row r="686" spans="1:2">
      <c r="A686" s="58">
        <v>2.2000000000000002</v>
      </c>
      <c r="B686" s="43" t="s">
        <v>1902</v>
      </c>
    </row>
    <row r="687" spans="1:2">
      <c r="A687" s="58" t="s">
        <v>1903</v>
      </c>
      <c r="B687" s="43" t="s">
        <v>1904</v>
      </c>
    </row>
    <row r="688" spans="1:2">
      <c r="A688" s="58" t="s">
        <v>1905</v>
      </c>
      <c r="B688" s="43" t="s">
        <v>1906</v>
      </c>
    </row>
    <row r="689" spans="1:2">
      <c r="A689" s="58" t="s">
        <v>1907</v>
      </c>
      <c r="B689" s="43" t="s">
        <v>1908</v>
      </c>
    </row>
    <row r="690" spans="1:2">
      <c r="A690" s="58" t="s">
        <v>1909</v>
      </c>
      <c r="B690" s="43" t="s">
        <v>1910</v>
      </c>
    </row>
    <row r="691" spans="1:2">
      <c r="A691" s="58" t="s">
        <v>1911</v>
      </c>
      <c r="B691" s="43" t="s">
        <v>1912</v>
      </c>
    </row>
    <row r="692" spans="1:2">
      <c r="A692" s="58">
        <v>2.2999999999999998</v>
      </c>
      <c r="B692" s="43" t="s">
        <v>1913</v>
      </c>
    </row>
    <row r="693" spans="1:2">
      <c r="A693" s="58">
        <v>2.4</v>
      </c>
      <c r="B693" s="43" t="s">
        <v>1914</v>
      </c>
    </row>
    <row r="694" spans="1:2">
      <c r="A694" s="58">
        <v>2.5</v>
      </c>
      <c r="B694" s="43" t="s">
        <v>1915</v>
      </c>
    </row>
    <row r="695" spans="1:2">
      <c r="A695" s="58">
        <v>2.6</v>
      </c>
      <c r="B695" s="43" t="s">
        <v>1916</v>
      </c>
    </row>
    <row r="696" spans="1:2">
      <c r="A696" s="58" t="s">
        <v>1917</v>
      </c>
      <c r="B696" s="43" t="s">
        <v>1918</v>
      </c>
    </row>
    <row r="697" spans="1:2">
      <c r="A697" s="58">
        <v>3.1</v>
      </c>
      <c r="B697" s="43" t="s">
        <v>1919</v>
      </c>
    </row>
    <row r="698" spans="1:2">
      <c r="A698" s="58">
        <v>3.2</v>
      </c>
      <c r="B698" s="43" t="s">
        <v>1920</v>
      </c>
    </row>
    <row r="699" spans="1:2">
      <c r="A699" s="58" t="s">
        <v>1087</v>
      </c>
      <c r="B699" s="43" t="s">
        <v>1921</v>
      </c>
    </row>
    <row r="700" spans="1:2">
      <c r="A700" s="58" t="s">
        <v>1089</v>
      </c>
      <c r="B700" s="43" t="s">
        <v>1922</v>
      </c>
    </row>
    <row r="701" spans="1:2">
      <c r="A701" s="58" t="s">
        <v>1091</v>
      </c>
      <c r="B701" s="43" t="s">
        <v>1923</v>
      </c>
    </row>
    <row r="702" spans="1:2">
      <c r="A702" s="58">
        <v>3.3</v>
      </c>
      <c r="B702" s="43" t="s">
        <v>1924</v>
      </c>
    </row>
    <row r="703" spans="1:2">
      <c r="A703" s="58">
        <v>3.4</v>
      </c>
      <c r="B703" s="43" t="s">
        <v>1925</v>
      </c>
    </row>
    <row r="704" spans="1:2">
      <c r="A704" s="58" t="s">
        <v>1111</v>
      </c>
      <c r="B704" s="43" t="s">
        <v>1926</v>
      </c>
    </row>
    <row r="705" spans="1:2">
      <c r="A705" s="58">
        <v>3.5</v>
      </c>
      <c r="B705" s="43" t="s">
        <v>1927</v>
      </c>
    </row>
    <row r="706" spans="1:2">
      <c r="A706" s="58" t="s">
        <v>1129</v>
      </c>
      <c r="B706" s="43" t="s">
        <v>1928</v>
      </c>
    </row>
    <row r="707" spans="1:2">
      <c r="A707" s="58" t="s">
        <v>1131</v>
      </c>
      <c r="B707" s="43" t="s">
        <v>1929</v>
      </c>
    </row>
    <row r="708" spans="1:2">
      <c r="A708" s="58" t="s">
        <v>1133</v>
      </c>
      <c r="B708" s="43" t="s">
        <v>1930</v>
      </c>
    </row>
    <row r="709" spans="1:2">
      <c r="A709" s="58" t="s">
        <v>1135</v>
      </c>
      <c r="B709" s="43" t="s">
        <v>1931</v>
      </c>
    </row>
    <row r="710" spans="1:2">
      <c r="A710" s="58">
        <v>3.6</v>
      </c>
      <c r="B710" s="43" t="s">
        <v>1932</v>
      </c>
    </row>
    <row r="711" spans="1:2">
      <c r="A711" s="58" t="s">
        <v>1151</v>
      </c>
      <c r="B711" s="43" t="s">
        <v>1933</v>
      </c>
    </row>
    <row r="712" spans="1:2">
      <c r="A712" s="58" t="s">
        <v>1153</v>
      </c>
      <c r="B712" s="43" t="s">
        <v>1934</v>
      </c>
    </row>
    <row r="713" spans="1:2">
      <c r="A713" s="58" t="s">
        <v>1155</v>
      </c>
      <c r="B713" s="43" t="s">
        <v>1935</v>
      </c>
    </row>
    <row r="714" spans="1:2">
      <c r="A714" s="58" t="s">
        <v>1936</v>
      </c>
      <c r="B714" s="43" t="s">
        <v>1937</v>
      </c>
    </row>
    <row r="715" spans="1:2">
      <c r="A715" s="58" t="s">
        <v>1938</v>
      </c>
      <c r="B715" s="43" t="s">
        <v>1939</v>
      </c>
    </row>
    <row r="716" spans="1:2">
      <c r="A716" s="58" t="s">
        <v>1940</v>
      </c>
      <c r="B716" s="43" t="s">
        <v>1941</v>
      </c>
    </row>
    <row r="717" spans="1:2">
      <c r="A717" s="58" t="s">
        <v>1942</v>
      </c>
      <c r="B717" s="43" t="s">
        <v>1943</v>
      </c>
    </row>
    <row r="718" spans="1:2">
      <c r="A718" s="58" t="s">
        <v>1944</v>
      </c>
      <c r="B718" s="43" t="s">
        <v>1945</v>
      </c>
    </row>
    <row r="719" spans="1:2">
      <c r="A719" s="58">
        <v>3.7</v>
      </c>
      <c r="B719" s="43" t="s">
        <v>1946</v>
      </c>
    </row>
    <row r="720" spans="1:2">
      <c r="A720" s="58" t="s">
        <v>1947</v>
      </c>
      <c r="B720" s="43" t="s">
        <v>1948</v>
      </c>
    </row>
    <row r="721" spans="1:2">
      <c r="A721" s="58">
        <v>4.0999999999999996</v>
      </c>
      <c r="B721" s="43" t="s">
        <v>1949</v>
      </c>
    </row>
    <row r="722" spans="1:2">
      <c r="A722" s="58" t="s">
        <v>1950</v>
      </c>
      <c r="B722" s="43" t="s">
        <v>1951</v>
      </c>
    </row>
    <row r="723" spans="1:2">
      <c r="A723" s="58">
        <v>4.2</v>
      </c>
      <c r="B723" s="43" t="s">
        <v>1952</v>
      </c>
    </row>
    <row r="724" spans="1:2">
      <c r="A724" s="58">
        <v>4.3</v>
      </c>
      <c r="B724" s="43" t="s">
        <v>1953</v>
      </c>
    </row>
    <row r="725" spans="1:2">
      <c r="A725" s="58" t="s">
        <v>1954</v>
      </c>
      <c r="B725" s="43" t="s">
        <v>1955</v>
      </c>
    </row>
    <row r="726" spans="1:2">
      <c r="A726" s="58">
        <v>5.0999999999999996</v>
      </c>
      <c r="B726" s="43" t="s">
        <v>1956</v>
      </c>
    </row>
    <row r="727" spans="1:2">
      <c r="A727" s="58" t="s">
        <v>553</v>
      </c>
      <c r="B727" s="43" t="s">
        <v>1957</v>
      </c>
    </row>
    <row r="728" spans="1:2">
      <c r="A728" s="58" t="s">
        <v>555</v>
      </c>
      <c r="B728" s="43" t="s">
        <v>1958</v>
      </c>
    </row>
    <row r="729" spans="1:2">
      <c r="A729" s="58">
        <v>5.2</v>
      </c>
      <c r="B729" s="43" t="s">
        <v>1959</v>
      </c>
    </row>
    <row r="730" spans="1:2">
      <c r="A730" s="58">
        <v>5.3</v>
      </c>
      <c r="B730" s="43" t="s">
        <v>1960</v>
      </c>
    </row>
    <row r="731" spans="1:2">
      <c r="A731" s="58">
        <v>5.4</v>
      </c>
      <c r="B731" s="43" t="s">
        <v>1961</v>
      </c>
    </row>
    <row r="732" spans="1:2">
      <c r="A732" s="58" t="s">
        <v>1962</v>
      </c>
      <c r="B732" s="43" t="s">
        <v>1963</v>
      </c>
    </row>
    <row r="733" spans="1:2">
      <c r="A733" s="58">
        <v>6.1</v>
      </c>
      <c r="B733" s="43" t="s">
        <v>1964</v>
      </c>
    </row>
    <row r="734" spans="1:2">
      <c r="A734" s="58">
        <v>6.2</v>
      </c>
      <c r="B734" s="43" t="s">
        <v>1965</v>
      </c>
    </row>
    <row r="735" spans="1:2">
      <c r="A735" s="58">
        <v>6.3</v>
      </c>
      <c r="B735" s="43" t="s">
        <v>1966</v>
      </c>
    </row>
    <row r="736" spans="1:2">
      <c r="A736" s="58" t="s">
        <v>1967</v>
      </c>
      <c r="B736" s="43" t="s">
        <v>1968</v>
      </c>
    </row>
    <row r="737" spans="1:2">
      <c r="A737" s="58" t="s">
        <v>1969</v>
      </c>
      <c r="B737" s="43" t="s">
        <v>1970</v>
      </c>
    </row>
    <row r="738" spans="1:2">
      <c r="A738" s="58">
        <v>6.4</v>
      </c>
      <c r="B738" s="43" t="s">
        <v>1971</v>
      </c>
    </row>
    <row r="739" spans="1:2">
      <c r="A739" s="58" t="s">
        <v>1972</v>
      </c>
      <c r="B739" s="43" t="s">
        <v>1973</v>
      </c>
    </row>
    <row r="740" spans="1:2">
      <c r="A740" s="58" t="s">
        <v>1974</v>
      </c>
      <c r="B740" s="43" t="s">
        <v>1975</v>
      </c>
    </row>
    <row r="741" spans="1:2">
      <c r="A741" s="58" t="s">
        <v>1976</v>
      </c>
      <c r="B741" s="43" t="s">
        <v>1977</v>
      </c>
    </row>
    <row r="742" spans="1:2">
      <c r="A742" s="58" t="s">
        <v>1978</v>
      </c>
      <c r="B742" s="43" t="s">
        <v>1979</v>
      </c>
    </row>
    <row r="743" spans="1:2">
      <c r="A743" s="58" t="s">
        <v>1980</v>
      </c>
      <c r="B743" s="43" t="s">
        <v>1981</v>
      </c>
    </row>
    <row r="744" spans="1:2">
      <c r="A744" s="58" t="s">
        <v>1982</v>
      </c>
      <c r="B744" s="43" t="s">
        <v>1983</v>
      </c>
    </row>
    <row r="745" spans="1:2">
      <c r="A745" s="58" t="s">
        <v>1984</v>
      </c>
      <c r="B745" s="43" t="s">
        <v>1985</v>
      </c>
    </row>
    <row r="746" spans="1:2">
      <c r="A746" s="58" t="s">
        <v>1986</v>
      </c>
      <c r="B746" s="43" t="s">
        <v>1987</v>
      </c>
    </row>
    <row r="747" spans="1:2">
      <c r="A747" s="58" t="s">
        <v>1988</v>
      </c>
      <c r="B747" s="43" t="s">
        <v>1989</v>
      </c>
    </row>
    <row r="748" spans="1:2">
      <c r="A748" s="58" t="s">
        <v>1990</v>
      </c>
      <c r="B748" s="43" t="s">
        <v>1991</v>
      </c>
    </row>
    <row r="749" spans="1:2">
      <c r="A749" s="58">
        <v>6.5</v>
      </c>
      <c r="B749" s="43" t="s">
        <v>1992</v>
      </c>
    </row>
    <row r="750" spans="1:2">
      <c r="A750" s="58" t="s">
        <v>1993</v>
      </c>
      <c r="B750" s="43" t="s">
        <v>1994</v>
      </c>
    </row>
    <row r="751" spans="1:2">
      <c r="A751" s="58" t="s">
        <v>1995</v>
      </c>
      <c r="B751" s="43" t="s">
        <v>1996</v>
      </c>
    </row>
    <row r="752" spans="1:2">
      <c r="A752" s="58" t="s">
        <v>1997</v>
      </c>
      <c r="B752" s="43" t="s">
        <v>1998</v>
      </c>
    </row>
    <row r="753" spans="1:2">
      <c r="A753" s="58" t="s">
        <v>1999</v>
      </c>
      <c r="B753" s="43" t="s">
        <v>2000</v>
      </c>
    </row>
    <row r="754" spans="1:2">
      <c r="A754" s="58" t="s">
        <v>2001</v>
      </c>
      <c r="B754" s="43" t="s">
        <v>2002</v>
      </c>
    </row>
    <row r="755" spans="1:2">
      <c r="A755" s="58" t="s">
        <v>2003</v>
      </c>
      <c r="B755" s="43" t="s">
        <v>2004</v>
      </c>
    </row>
    <row r="756" spans="1:2">
      <c r="A756" s="58" t="s">
        <v>2005</v>
      </c>
      <c r="B756" s="43" t="s">
        <v>2006</v>
      </c>
    </row>
    <row r="757" spans="1:2">
      <c r="A757" s="58" t="s">
        <v>2007</v>
      </c>
      <c r="B757" s="43" t="s">
        <v>2008</v>
      </c>
    </row>
    <row r="758" spans="1:2">
      <c r="A758" s="58" t="s">
        <v>2009</v>
      </c>
      <c r="B758" s="43" t="s">
        <v>2010</v>
      </c>
    </row>
    <row r="759" spans="1:2">
      <c r="A759" s="58" t="s">
        <v>2011</v>
      </c>
      <c r="B759" s="43" t="s">
        <v>2012</v>
      </c>
    </row>
    <row r="760" spans="1:2">
      <c r="A760" s="58">
        <v>6.6</v>
      </c>
      <c r="B760" s="43" t="s">
        <v>2013</v>
      </c>
    </row>
    <row r="761" spans="1:2">
      <c r="A761" s="58">
        <v>6.7</v>
      </c>
      <c r="B761" s="43" t="s">
        <v>2014</v>
      </c>
    </row>
    <row r="762" spans="1:2">
      <c r="A762" s="58" t="s">
        <v>2015</v>
      </c>
      <c r="B762" s="43" t="s">
        <v>2016</v>
      </c>
    </row>
    <row r="763" spans="1:2">
      <c r="A763" s="58">
        <v>7.1</v>
      </c>
      <c r="B763" s="43" t="s">
        <v>2017</v>
      </c>
    </row>
    <row r="764" spans="1:2">
      <c r="A764" s="58" t="s">
        <v>571</v>
      </c>
      <c r="B764" s="43" t="s">
        <v>2018</v>
      </c>
    </row>
    <row r="765" spans="1:2">
      <c r="A765" s="58" t="s">
        <v>573</v>
      </c>
      <c r="B765" s="43" t="s">
        <v>2019</v>
      </c>
    </row>
    <row r="766" spans="1:2">
      <c r="A766" s="58" t="s">
        <v>2020</v>
      </c>
      <c r="B766" s="43" t="s">
        <v>2021</v>
      </c>
    </row>
    <row r="767" spans="1:2">
      <c r="A767" s="58" t="s">
        <v>2022</v>
      </c>
      <c r="B767" s="43" t="s">
        <v>2023</v>
      </c>
    </row>
    <row r="768" spans="1:2">
      <c r="A768" s="58">
        <v>7.2</v>
      </c>
      <c r="B768" s="43" t="s">
        <v>2024</v>
      </c>
    </row>
    <row r="769" spans="1:2">
      <c r="A769" s="58" t="s">
        <v>575</v>
      </c>
      <c r="B769" s="43" t="s">
        <v>2025</v>
      </c>
    </row>
    <row r="770" spans="1:2">
      <c r="A770" s="58" t="s">
        <v>577</v>
      </c>
      <c r="B770" s="43" t="s">
        <v>2026</v>
      </c>
    </row>
    <row r="771" spans="1:2">
      <c r="A771" s="58" t="s">
        <v>579</v>
      </c>
      <c r="B771" s="43" t="s">
        <v>2027</v>
      </c>
    </row>
    <row r="772" spans="1:2">
      <c r="A772" s="58">
        <v>7.3</v>
      </c>
      <c r="B772" s="43" t="s">
        <v>2028</v>
      </c>
    </row>
    <row r="773" spans="1:2">
      <c r="A773" s="58" t="s">
        <v>2029</v>
      </c>
      <c r="B773" s="43" t="s">
        <v>2030</v>
      </c>
    </row>
    <row r="774" spans="1:2">
      <c r="A774" s="58">
        <v>8.1</v>
      </c>
      <c r="B774" s="43" t="s">
        <v>2031</v>
      </c>
    </row>
    <row r="775" spans="1:2">
      <c r="A775" s="58" t="s">
        <v>583</v>
      </c>
      <c r="B775" s="43" t="s">
        <v>2032</v>
      </c>
    </row>
    <row r="776" spans="1:2">
      <c r="A776" s="58" t="s">
        <v>585</v>
      </c>
      <c r="B776" s="43" t="s">
        <v>2033</v>
      </c>
    </row>
    <row r="777" spans="1:2">
      <c r="A777" s="58" t="s">
        <v>587</v>
      </c>
      <c r="B777" s="43" t="s">
        <v>2034</v>
      </c>
    </row>
    <row r="778" spans="1:2">
      <c r="A778" s="58" t="s">
        <v>589</v>
      </c>
      <c r="B778" s="43" t="s">
        <v>2035</v>
      </c>
    </row>
    <row r="779" spans="1:2">
      <c r="A779" s="58" t="s">
        <v>2036</v>
      </c>
      <c r="B779" s="43" t="s">
        <v>2037</v>
      </c>
    </row>
    <row r="780" spans="1:2">
      <c r="A780" s="58" t="s">
        <v>2038</v>
      </c>
      <c r="B780" s="43" t="s">
        <v>2039</v>
      </c>
    </row>
    <row r="781" spans="1:2">
      <c r="A781" s="58" t="s">
        <v>2040</v>
      </c>
      <c r="B781" s="43" t="s">
        <v>2041</v>
      </c>
    </row>
    <row r="782" spans="1:2">
      <c r="A782" s="58" t="s">
        <v>2042</v>
      </c>
      <c r="B782" s="43" t="s">
        <v>2043</v>
      </c>
    </row>
    <row r="783" spans="1:2">
      <c r="A783" s="58">
        <v>8.1999999999999993</v>
      </c>
      <c r="B783" s="43" t="s">
        <v>2044</v>
      </c>
    </row>
    <row r="784" spans="1:2">
      <c r="A784" s="58" t="s">
        <v>591</v>
      </c>
      <c r="B784" s="43" t="s">
        <v>2045</v>
      </c>
    </row>
    <row r="785" spans="1:2">
      <c r="A785" s="58" t="s">
        <v>593</v>
      </c>
      <c r="B785" s="43" t="s">
        <v>2046</v>
      </c>
    </row>
    <row r="786" spans="1:2">
      <c r="A786" s="58" t="s">
        <v>595</v>
      </c>
      <c r="B786" s="43" t="s">
        <v>2047</v>
      </c>
    </row>
    <row r="787" spans="1:2">
      <c r="A787" s="58" t="s">
        <v>2048</v>
      </c>
      <c r="B787" s="43" t="s">
        <v>2049</v>
      </c>
    </row>
    <row r="788" spans="1:2">
      <c r="A788" s="58" t="s">
        <v>2050</v>
      </c>
      <c r="B788" s="43" t="s">
        <v>2051</v>
      </c>
    </row>
    <row r="789" spans="1:2">
      <c r="A789" s="58" t="s">
        <v>2052</v>
      </c>
      <c r="B789" s="43" t="s">
        <v>2053</v>
      </c>
    </row>
    <row r="790" spans="1:2">
      <c r="A790" s="58">
        <v>8.3000000000000007</v>
      </c>
      <c r="B790" s="43" t="s">
        <v>2054</v>
      </c>
    </row>
    <row r="791" spans="1:2">
      <c r="A791" s="58" t="s">
        <v>597</v>
      </c>
      <c r="B791" s="43" t="s">
        <v>2055</v>
      </c>
    </row>
    <row r="792" spans="1:2">
      <c r="A792" s="58" t="s">
        <v>599</v>
      </c>
      <c r="B792" s="43" t="s">
        <v>2056</v>
      </c>
    </row>
    <row r="793" spans="1:2">
      <c r="A793" s="58">
        <v>8.4</v>
      </c>
      <c r="B793" s="43" t="s">
        <v>2057</v>
      </c>
    </row>
    <row r="794" spans="1:2">
      <c r="A794" s="58">
        <v>8.5</v>
      </c>
      <c r="B794" s="43" t="s">
        <v>2058</v>
      </c>
    </row>
    <row r="795" spans="1:2">
      <c r="A795" s="58" t="s">
        <v>2059</v>
      </c>
      <c r="B795" s="43" t="s">
        <v>2060</v>
      </c>
    </row>
    <row r="796" spans="1:2">
      <c r="A796" s="58">
        <v>8.6</v>
      </c>
      <c r="B796" s="43" t="s">
        <v>2061</v>
      </c>
    </row>
    <row r="797" spans="1:2">
      <c r="A797" s="58">
        <v>8.6999999999999993</v>
      </c>
      <c r="B797" s="43" t="s">
        <v>2062</v>
      </c>
    </row>
    <row r="798" spans="1:2">
      <c r="A798" s="58">
        <v>8.8000000000000007</v>
      </c>
      <c r="B798" s="43" t="s">
        <v>2063</v>
      </c>
    </row>
    <row r="799" spans="1:2">
      <c r="A799" s="58" t="s">
        <v>2064</v>
      </c>
      <c r="B799" s="43" t="s">
        <v>2065</v>
      </c>
    </row>
    <row r="800" spans="1:2">
      <c r="A800" s="58">
        <v>9.1</v>
      </c>
      <c r="B800" s="43" t="s">
        <v>2066</v>
      </c>
    </row>
    <row r="801" spans="1:2">
      <c r="A801" s="58" t="s">
        <v>603</v>
      </c>
      <c r="B801" s="43" t="s">
        <v>2067</v>
      </c>
    </row>
    <row r="802" spans="1:2">
      <c r="A802" s="58" t="s">
        <v>605</v>
      </c>
      <c r="B802" s="43" t="s">
        <v>2068</v>
      </c>
    </row>
    <row r="803" spans="1:2">
      <c r="A803" s="58" t="s">
        <v>2069</v>
      </c>
      <c r="B803" s="43" t="s">
        <v>2070</v>
      </c>
    </row>
    <row r="804" spans="1:2">
      <c r="A804" s="58">
        <v>9.1999999999999993</v>
      </c>
      <c r="B804" s="43" t="s">
        <v>2071</v>
      </c>
    </row>
    <row r="805" spans="1:2">
      <c r="A805" s="58">
        <v>9.3000000000000007</v>
      </c>
      <c r="B805" s="43" t="s">
        <v>2072</v>
      </c>
    </row>
    <row r="806" spans="1:2">
      <c r="A806" s="58">
        <v>9.4</v>
      </c>
      <c r="B806" s="43" t="s">
        <v>2073</v>
      </c>
    </row>
    <row r="807" spans="1:2">
      <c r="A807" s="58" t="s">
        <v>621</v>
      </c>
      <c r="B807" s="43" t="s">
        <v>2074</v>
      </c>
    </row>
    <row r="808" spans="1:2">
      <c r="A808" s="58" t="s">
        <v>623</v>
      </c>
      <c r="B808" s="43" t="s">
        <v>2075</v>
      </c>
    </row>
    <row r="809" spans="1:2">
      <c r="A809" s="58" t="s">
        <v>625</v>
      </c>
      <c r="B809" s="43" t="s">
        <v>2076</v>
      </c>
    </row>
    <row r="810" spans="1:2">
      <c r="A810" s="58" t="s">
        <v>627</v>
      </c>
      <c r="B810" s="43" t="s">
        <v>2077</v>
      </c>
    </row>
    <row r="811" spans="1:2">
      <c r="A811" s="58">
        <v>9.5</v>
      </c>
      <c r="B811" s="43" t="s">
        <v>2078</v>
      </c>
    </row>
    <row r="812" spans="1:2">
      <c r="A812" s="58" t="s">
        <v>2079</v>
      </c>
      <c r="B812" s="43" t="s">
        <v>2080</v>
      </c>
    </row>
    <row r="813" spans="1:2">
      <c r="A813" s="58">
        <v>9.6</v>
      </c>
      <c r="B813" s="43" t="s">
        <v>2081</v>
      </c>
    </row>
    <row r="814" spans="1:2">
      <c r="A814" s="58" t="s">
        <v>2082</v>
      </c>
      <c r="B814" s="43" t="s">
        <v>2083</v>
      </c>
    </row>
    <row r="815" spans="1:2">
      <c r="A815" s="58" t="s">
        <v>2084</v>
      </c>
      <c r="B815" s="43" t="s">
        <v>2085</v>
      </c>
    </row>
    <row r="816" spans="1:2">
      <c r="A816" s="58" t="s">
        <v>2086</v>
      </c>
      <c r="B816" s="43" t="s">
        <v>2087</v>
      </c>
    </row>
    <row r="817" spans="1:2">
      <c r="A817" s="58">
        <v>9.6999999999999993</v>
      </c>
      <c r="B817" s="43" t="s">
        <v>2088</v>
      </c>
    </row>
    <row r="818" spans="1:2">
      <c r="A818" s="58" t="s">
        <v>2089</v>
      </c>
      <c r="B818" s="43" t="s">
        <v>2090</v>
      </c>
    </row>
    <row r="819" spans="1:2">
      <c r="A819" s="58">
        <v>9.8000000000000007</v>
      </c>
      <c r="B819" s="43" t="s">
        <v>2091</v>
      </c>
    </row>
    <row r="820" spans="1:2">
      <c r="A820" s="58" t="s">
        <v>2092</v>
      </c>
      <c r="B820" s="43" t="s">
        <v>2093</v>
      </c>
    </row>
    <row r="821" spans="1:2">
      <c r="A821" s="58" t="s">
        <v>2094</v>
      </c>
      <c r="B821" s="43" t="s">
        <v>2095</v>
      </c>
    </row>
    <row r="822" spans="1:2">
      <c r="A822" s="58">
        <v>9.9</v>
      </c>
      <c r="B822" s="43" t="s">
        <v>2096</v>
      </c>
    </row>
    <row r="823" spans="1:2">
      <c r="A823" s="58" t="s">
        <v>2097</v>
      </c>
      <c r="B823" s="43" t="s">
        <v>2098</v>
      </c>
    </row>
    <row r="824" spans="1:2">
      <c r="A824" s="58" t="s">
        <v>2099</v>
      </c>
      <c r="B824" s="43" t="s">
        <v>2100</v>
      </c>
    </row>
    <row r="825" spans="1:2">
      <c r="A825" s="58" t="s">
        <v>2101</v>
      </c>
      <c r="B825" s="43" t="s">
        <v>2102</v>
      </c>
    </row>
    <row r="826" spans="1:2">
      <c r="A826" s="58" t="s">
        <v>2103</v>
      </c>
      <c r="B826" s="43" t="s">
        <v>2104</v>
      </c>
    </row>
    <row r="827" spans="1:2">
      <c r="A827" s="58" t="s">
        <v>2105</v>
      </c>
      <c r="B827" s="43" t="s">
        <v>2106</v>
      </c>
    </row>
    <row r="828" spans="1:2">
      <c r="A828" s="58">
        <v>10.1</v>
      </c>
      <c r="B828" s="43" t="s">
        <v>2107</v>
      </c>
    </row>
    <row r="829" spans="1:2">
      <c r="A829" s="58">
        <v>10.199999999999999</v>
      </c>
      <c r="B829" s="43" t="s">
        <v>2108</v>
      </c>
    </row>
    <row r="830" spans="1:2">
      <c r="A830" s="58" t="s">
        <v>2109</v>
      </c>
      <c r="B830" s="43" t="s">
        <v>2110</v>
      </c>
    </row>
    <row r="831" spans="1:2">
      <c r="A831" s="58" t="s">
        <v>2111</v>
      </c>
      <c r="B831" s="43" t="s">
        <v>2112</v>
      </c>
    </row>
    <row r="832" spans="1:2">
      <c r="A832" s="58" t="s">
        <v>2113</v>
      </c>
      <c r="B832" s="43" t="s">
        <v>2114</v>
      </c>
    </row>
    <row r="833" spans="1:2">
      <c r="A833" s="58" t="s">
        <v>2115</v>
      </c>
      <c r="B833" s="43" t="s">
        <v>2116</v>
      </c>
    </row>
    <row r="834" spans="1:2">
      <c r="A834" s="58" t="s">
        <v>2117</v>
      </c>
      <c r="B834" s="43" t="s">
        <v>2118</v>
      </c>
    </row>
    <row r="835" spans="1:2">
      <c r="A835" s="58" t="s">
        <v>2119</v>
      </c>
      <c r="B835" s="43" t="s">
        <v>2120</v>
      </c>
    </row>
    <row r="836" spans="1:2">
      <c r="A836" s="58" t="s">
        <v>2121</v>
      </c>
      <c r="B836" s="43" t="s">
        <v>2122</v>
      </c>
    </row>
    <row r="837" spans="1:2">
      <c r="A837" s="58">
        <v>10.3</v>
      </c>
      <c r="B837" s="43" t="s">
        <v>2123</v>
      </c>
    </row>
    <row r="838" spans="1:2">
      <c r="A838" s="58" t="s">
        <v>2124</v>
      </c>
      <c r="B838" s="43" t="s">
        <v>2125</v>
      </c>
    </row>
    <row r="839" spans="1:2">
      <c r="A839" s="58" t="s">
        <v>2126</v>
      </c>
      <c r="B839" s="43" t="s">
        <v>2127</v>
      </c>
    </row>
    <row r="840" spans="1:2">
      <c r="A840" s="58" t="s">
        <v>2128</v>
      </c>
      <c r="B840" s="43" t="s">
        <v>2129</v>
      </c>
    </row>
    <row r="841" spans="1:2">
      <c r="A841" s="58" t="s">
        <v>2130</v>
      </c>
      <c r="B841" s="43" t="s">
        <v>2131</v>
      </c>
    </row>
    <row r="842" spans="1:2">
      <c r="A842" s="58" t="s">
        <v>2132</v>
      </c>
      <c r="B842" s="43" t="s">
        <v>2133</v>
      </c>
    </row>
    <row r="843" spans="1:2">
      <c r="A843" s="58" t="s">
        <v>2134</v>
      </c>
      <c r="B843" s="43" t="s">
        <v>2135</v>
      </c>
    </row>
    <row r="844" spans="1:2">
      <c r="A844" s="58">
        <v>10.4</v>
      </c>
      <c r="B844" s="43" t="s">
        <v>2136</v>
      </c>
    </row>
    <row r="845" spans="1:2">
      <c r="A845" s="58" t="s">
        <v>2137</v>
      </c>
      <c r="B845" s="43" t="s">
        <v>2138</v>
      </c>
    </row>
    <row r="846" spans="1:2">
      <c r="A846" s="58" t="s">
        <v>2139</v>
      </c>
      <c r="B846" s="43" t="s">
        <v>2140</v>
      </c>
    </row>
    <row r="847" spans="1:2">
      <c r="A847" s="58" t="s">
        <v>2141</v>
      </c>
      <c r="B847" s="43" t="s">
        <v>2142</v>
      </c>
    </row>
    <row r="848" spans="1:2">
      <c r="A848" s="58">
        <v>10.5</v>
      </c>
      <c r="B848" s="43" t="s">
        <v>2143</v>
      </c>
    </row>
    <row r="849" spans="1:2">
      <c r="A849" s="58" t="s">
        <v>2144</v>
      </c>
      <c r="B849" s="43" t="s">
        <v>2145</v>
      </c>
    </row>
    <row r="850" spans="1:2">
      <c r="A850" s="58" t="s">
        <v>2146</v>
      </c>
      <c r="B850" s="43" t="s">
        <v>2147</v>
      </c>
    </row>
    <row r="851" spans="1:2">
      <c r="A851" s="58" t="s">
        <v>2148</v>
      </c>
      <c r="B851" s="43" t="s">
        <v>2149</v>
      </c>
    </row>
    <row r="852" spans="1:2">
      <c r="A852" s="58" t="s">
        <v>2150</v>
      </c>
      <c r="B852" s="43" t="s">
        <v>2151</v>
      </c>
    </row>
    <row r="853" spans="1:2">
      <c r="A853" s="58" t="s">
        <v>2152</v>
      </c>
      <c r="B853" s="43" t="s">
        <v>2153</v>
      </c>
    </row>
    <row r="854" spans="1:2">
      <c r="A854" s="58">
        <v>10.6</v>
      </c>
      <c r="B854" s="43" t="s">
        <v>2154</v>
      </c>
    </row>
    <row r="855" spans="1:2">
      <c r="A855" s="58" t="s">
        <v>2155</v>
      </c>
      <c r="B855" s="43" t="s">
        <v>2156</v>
      </c>
    </row>
    <row r="856" spans="1:2">
      <c r="A856" s="58" t="s">
        <v>2157</v>
      </c>
      <c r="B856" s="43" t="s">
        <v>2158</v>
      </c>
    </row>
    <row r="857" spans="1:2">
      <c r="A857" s="58" t="s">
        <v>2159</v>
      </c>
      <c r="B857" s="43" t="s">
        <v>2160</v>
      </c>
    </row>
    <row r="858" spans="1:2">
      <c r="A858" s="58">
        <v>10.7</v>
      </c>
      <c r="B858" s="43" t="s">
        <v>2161</v>
      </c>
    </row>
    <row r="859" spans="1:2">
      <c r="A859" s="58">
        <v>10.8</v>
      </c>
      <c r="B859" s="43" t="s">
        <v>2162</v>
      </c>
    </row>
    <row r="860" spans="1:2">
      <c r="A860" s="58" t="s">
        <v>2163</v>
      </c>
      <c r="B860" s="43" t="s">
        <v>2164</v>
      </c>
    </row>
    <row r="861" spans="1:2">
      <c r="A861" s="58">
        <v>10.9</v>
      </c>
      <c r="B861" s="43" t="s">
        <v>2165</v>
      </c>
    </row>
    <row r="862" spans="1:2">
      <c r="A862" s="58" t="s">
        <v>2166</v>
      </c>
      <c r="B862" s="43" t="s">
        <v>2167</v>
      </c>
    </row>
    <row r="863" spans="1:2">
      <c r="A863" s="58">
        <v>11.1</v>
      </c>
      <c r="B863" s="43" t="s">
        <v>2168</v>
      </c>
    </row>
    <row r="864" spans="1:2">
      <c r="A864" s="58" t="s">
        <v>635</v>
      </c>
      <c r="B864" s="43" t="s">
        <v>2169</v>
      </c>
    </row>
    <row r="865" spans="1:2">
      <c r="A865" s="58" t="s">
        <v>637</v>
      </c>
      <c r="B865" s="43" t="s">
        <v>2170</v>
      </c>
    </row>
    <row r="866" spans="1:2">
      <c r="A866" s="58">
        <v>11.2</v>
      </c>
      <c r="B866" s="43" t="s">
        <v>2171</v>
      </c>
    </row>
    <row r="867" spans="1:2">
      <c r="A867" s="58" t="s">
        <v>647</v>
      </c>
      <c r="B867" s="43" t="s">
        <v>2172</v>
      </c>
    </row>
    <row r="868" spans="1:2">
      <c r="A868" s="58" t="s">
        <v>649</v>
      </c>
      <c r="B868" s="43" t="s">
        <v>2173</v>
      </c>
    </row>
    <row r="869" spans="1:2">
      <c r="A869" s="58" t="s">
        <v>651</v>
      </c>
      <c r="B869" s="43" t="s">
        <v>2174</v>
      </c>
    </row>
    <row r="870" spans="1:2">
      <c r="A870" s="58">
        <v>11.3</v>
      </c>
      <c r="B870" s="43" t="s">
        <v>2175</v>
      </c>
    </row>
    <row r="871" spans="1:2">
      <c r="A871" s="58" t="s">
        <v>2176</v>
      </c>
      <c r="B871" s="43" t="s">
        <v>2177</v>
      </c>
    </row>
    <row r="872" spans="1:2">
      <c r="A872" s="58" t="s">
        <v>2178</v>
      </c>
      <c r="B872" s="43" t="s">
        <v>2179</v>
      </c>
    </row>
    <row r="873" spans="1:2">
      <c r="A873" s="58" t="s">
        <v>2180</v>
      </c>
      <c r="B873" s="43" t="s">
        <v>2181</v>
      </c>
    </row>
    <row r="874" spans="1:2">
      <c r="A874" s="58" t="s">
        <v>2182</v>
      </c>
      <c r="B874" s="43" t="s">
        <v>2183</v>
      </c>
    </row>
    <row r="875" spans="1:2">
      <c r="A875" s="58" t="s">
        <v>2184</v>
      </c>
      <c r="B875" s="43" t="s">
        <v>2185</v>
      </c>
    </row>
    <row r="876" spans="1:2">
      <c r="A876" s="58">
        <v>11.4</v>
      </c>
      <c r="B876" s="43" t="s">
        <v>2186</v>
      </c>
    </row>
    <row r="877" spans="1:2">
      <c r="A877" s="58">
        <v>11.5</v>
      </c>
      <c r="B877" s="43" t="s">
        <v>2187</v>
      </c>
    </row>
    <row r="878" spans="1:2">
      <c r="A878" s="58" t="s">
        <v>2188</v>
      </c>
      <c r="B878" s="43" t="s">
        <v>2189</v>
      </c>
    </row>
    <row r="879" spans="1:2">
      <c r="A879" s="58">
        <v>11.6</v>
      </c>
      <c r="B879" s="43" t="s">
        <v>2190</v>
      </c>
    </row>
    <row r="880" spans="1:2">
      <c r="A880" s="58" t="s">
        <v>2191</v>
      </c>
      <c r="B880" s="43" t="s">
        <v>2192</v>
      </c>
    </row>
    <row r="881" spans="1:2">
      <c r="A881" s="58">
        <v>12.1</v>
      </c>
      <c r="B881" s="43" t="s">
        <v>2193</v>
      </c>
    </row>
    <row r="882" spans="1:2">
      <c r="A882" s="58" t="s">
        <v>665</v>
      </c>
      <c r="B882" s="43" t="s">
        <v>2194</v>
      </c>
    </row>
    <row r="883" spans="1:2">
      <c r="A883" s="58">
        <v>12.2</v>
      </c>
      <c r="B883" s="43" t="s">
        <v>2195</v>
      </c>
    </row>
    <row r="884" spans="1:2">
      <c r="A884" s="58">
        <v>12.3</v>
      </c>
      <c r="B884" s="43" t="s">
        <v>2196</v>
      </c>
    </row>
    <row r="885" spans="1:2">
      <c r="A885" s="58" t="s">
        <v>675</v>
      </c>
      <c r="B885" s="43" t="s">
        <v>2197</v>
      </c>
    </row>
    <row r="886" spans="1:2">
      <c r="A886" s="58" t="s">
        <v>2198</v>
      </c>
      <c r="B886" s="43" t="s">
        <v>2199</v>
      </c>
    </row>
    <row r="887" spans="1:2">
      <c r="A887" s="58" t="s">
        <v>2200</v>
      </c>
      <c r="B887" s="43" t="s">
        <v>2201</v>
      </c>
    </row>
    <row r="888" spans="1:2">
      <c r="A888" s="58" t="s">
        <v>2202</v>
      </c>
      <c r="B888" s="43" t="s">
        <v>2203</v>
      </c>
    </row>
    <row r="889" spans="1:2">
      <c r="A889" s="58" t="s">
        <v>2204</v>
      </c>
      <c r="B889" s="43" t="s">
        <v>2205</v>
      </c>
    </row>
    <row r="890" spans="1:2">
      <c r="A890" s="58" t="s">
        <v>2206</v>
      </c>
      <c r="B890" s="43" t="s">
        <v>2207</v>
      </c>
    </row>
    <row r="891" spans="1:2">
      <c r="A891" s="58" t="s">
        <v>2208</v>
      </c>
      <c r="B891" s="43" t="s">
        <v>2209</v>
      </c>
    </row>
    <row r="892" spans="1:2">
      <c r="A892" s="58" t="s">
        <v>2210</v>
      </c>
      <c r="B892" s="43" t="s">
        <v>2211</v>
      </c>
    </row>
    <row r="893" spans="1:2">
      <c r="A893" s="58" t="s">
        <v>2212</v>
      </c>
      <c r="B893" s="43" t="s">
        <v>2213</v>
      </c>
    </row>
    <row r="894" spans="1:2">
      <c r="A894" s="58" t="s">
        <v>2214</v>
      </c>
      <c r="B894" s="43" t="s">
        <v>2215</v>
      </c>
    </row>
    <row r="895" spans="1:2">
      <c r="A895" s="58">
        <v>12.4</v>
      </c>
      <c r="B895" s="43" t="s">
        <v>2216</v>
      </c>
    </row>
    <row r="896" spans="1:2">
      <c r="A896" s="58" t="s">
        <v>677</v>
      </c>
      <c r="B896" s="43" t="s">
        <v>2217</v>
      </c>
    </row>
    <row r="897" spans="1:2">
      <c r="A897" s="58">
        <v>12.5</v>
      </c>
      <c r="B897" s="43" t="s">
        <v>2218</v>
      </c>
    </row>
    <row r="898" spans="1:2">
      <c r="A898" s="58" t="s">
        <v>685</v>
      </c>
      <c r="B898" s="43" t="s">
        <v>2219</v>
      </c>
    </row>
    <row r="899" spans="1:2">
      <c r="A899" s="58" t="s">
        <v>2220</v>
      </c>
      <c r="B899" s="43" t="s">
        <v>2221</v>
      </c>
    </row>
    <row r="900" spans="1:2">
      <c r="A900" s="58" t="s">
        <v>2222</v>
      </c>
      <c r="B900" s="43" t="s">
        <v>2223</v>
      </c>
    </row>
    <row r="901" spans="1:2">
      <c r="A901" s="58" t="s">
        <v>2224</v>
      </c>
      <c r="B901" s="43" t="s">
        <v>2225</v>
      </c>
    </row>
    <row r="902" spans="1:2">
      <c r="A902" s="58" t="s">
        <v>2226</v>
      </c>
      <c r="B902" s="43" t="s">
        <v>2227</v>
      </c>
    </row>
    <row r="903" spans="1:2">
      <c r="A903" s="58">
        <v>12.6</v>
      </c>
      <c r="B903" s="43" t="s">
        <v>2228</v>
      </c>
    </row>
    <row r="904" spans="1:2">
      <c r="A904" s="58" t="s">
        <v>687</v>
      </c>
      <c r="B904" s="43" t="s">
        <v>2229</v>
      </c>
    </row>
    <row r="905" spans="1:2">
      <c r="A905" s="58" t="s">
        <v>689</v>
      </c>
      <c r="B905" s="43" t="s">
        <v>2230</v>
      </c>
    </row>
    <row r="906" spans="1:2">
      <c r="A906" s="58">
        <v>12.7</v>
      </c>
      <c r="B906" s="43" t="s">
        <v>2231</v>
      </c>
    </row>
    <row r="907" spans="1:2">
      <c r="A907" s="58">
        <v>12.8</v>
      </c>
      <c r="B907" s="43" t="s">
        <v>2232</v>
      </c>
    </row>
    <row r="908" spans="1:2">
      <c r="A908" s="58" t="s">
        <v>2233</v>
      </c>
      <c r="B908" s="43" t="s">
        <v>2234</v>
      </c>
    </row>
    <row r="909" spans="1:2">
      <c r="A909" s="58" t="s">
        <v>2235</v>
      </c>
      <c r="B909" s="43" t="s">
        <v>2236</v>
      </c>
    </row>
    <row r="910" spans="1:2">
      <c r="A910" s="58" t="s">
        <v>2237</v>
      </c>
      <c r="B910" s="43" t="s">
        <v>2238</v>
      </c>
    </row>
    <row r="911" spans="1:2">
      <c r="A911" s="58" t="s">
        <v>2239</v>
      </c>
      <c r="B911" s="43" t="s">
        <v>2240</v>
      </c>
    </row>
    <row r="912" spans="1:2">
      <c r="A912" s="58" t="s">
        <v>2241</v>
      </c>
      <c r="B912" s="43" t="s">
        <v>2242</v>
      </c>
    </row>
    <row r="913" spans="1:2">
      <c r="A913" s="58">
        <v>12.9</v>
      </c>
      <c r="B913" s="43" t="s">
        <v>2243</v>
      </c>
    </row>
    <row r="914" spans="1:2">
      <c r="A914" s="58" t="s">
        <v>2244</v>
      </c>
      <c r="B914" s="43" t="s">
        <v>2245</v>
      </c>
    </row>
    <row r="915" spans="1:2">
      <c r="A915" s="58" t="s">
        <v>2246</v>
      </c>
      <c r="B915" s="43" t="s">
        <v>2247</v>
      </c>
    </row>
    <row r="916" spans="1:2">
      <c r="A916" s="58" t="s">
        <v>2248</v>
      </c>
      <c r="B916" s="43" t="s">
        <v>2249</v>
      </c>
    </row>
    <row r="917" spans="1:2">
      <c r="A917" s="58" t="s">
        <v>2250</v>
      </c>
      <c r="B917" s="43" t="s">
        <v>2251</v>
      </c>
    </row>
    <row r="918" spans="1:2">
      <c r="A918" s="58" t="s">
        <v>2252</v>
      </c>
      <c r="B918" s="43" t="s">
        <v>2253</v>
      </c>
    </row>
    <row r="919" spans="1:2">
      <c r="A919" s="58" t="s">
        <v>2254</v>
      </c>
      <c r="B919" s="43" t="s">
        <v>2255</v>
      </c>
    </row>
    <row r="920" spans="1:2">
      <c r="A920" s="58" t="s">
        <v>2256</v>
      </c>
      <c r="B920" s="43" t="s">
        <v>2257</v>
      </c>
    </row>
    <row r="921" spans="1:2">
      <c r="A921" s="58">
        <v>12.11</v>
      </c>
      <c r="B921" s="43" t="s">
        <v>2258</v>
      </c>
    </row>
    <row r="922" spans="1:2">
      <c r="A922" s="58" t="s">
        <v>2259</v>
      </c>
      <c r="B922" s="43" t="s">
        <v>2260</v>
      </c>
    </row>
    <row r="923" spans="1:2" ht="17.100000000000001">
      <c r="A923" s="53" t="s">
        <v>2261</v>
      </c>
      <c r="B923" s="43" t="s">
        <v>2262</v>
      </c>
    </row>
    <row r="924" spans="1:2">
      <c r="A924" s="43" t="s">
        <v>2263</v>
      </c>
      <c r="B924" s="43" t="s">
        <v>2264</v>
      </c>
    </row>
    <row r="925" spans="1:2">
      <c r="A925" s="43" t="s">
        <v>2265</v>
      </c>
      <c r="B925" s="43" t="str">
        <f>CONCATENATE(B923,"; ",B924)</f>
        <v>All system components included in or connected to the cardholder data environment (CDE); The process of determining the CDE and subsequent PCI scope</v>
      </c>
    </row>
    <row r="926" spans="1:2">
      <c r="A926" s="43" t="s">
        <v>2266</v>
      </c>
      <c r="B926" s="43" t="str">
        <f>B923</f>
        <v>All system components included in or connected to the cardholder data environment (CDE)</v>
      </c>
    </row>
    <row r="927" spans="1:2" ht="30">
      <c r="A927" s="54" t="s">
        <v>2267</v>
      </c>
      <c r="B927" s="43" t="str">
        <f>CONCATENATE(B914,"; ",B923)</f>
        <v>Implement an incident response plan. Be prepared to respond immediately to a system breach.; All system components included in or connected to the cardholder data environment (CDE)</v>
      </c>
    </row>
    <row r="928" spans="1:2">
      <c r="A928" s="55" t="s">
        <v>2268</v>
      </c>
      <c r="B928" s="43" t="str">
        <f>CONCATENATE(B907,"; ",B897)</f>
        <v>Maintain and implement policies and procedures to manage service providers, with whom cardholder data is shared, or that could affect the security of cardholder data, as follows; Assign to an individual or team the following information security management responsibilities:</v>
      </c>
    </row>
    <row r="929" spans="1:2">
      <c r="A929" s="43" t="s">
        <v>2269</v>
      </c>
      <c r="B929" s="43" t="str">
        <f>CONCATENATE(B907,"; ",B723)</f>
        <v>Maintain and implement policies and procedures to manage service providers, with whom cardholder data is shared, or that could affect the security of cardholder data, as follows; Never send unprotected PANs by end-user messaging technologies (for example, e-mail, instant messaging, SMS, chat, etc.).</v>
      </c>
    </row>
    <row r="930" spans="1:2">
      <c r="A930" s="55" t="s">
        <v>2270</v>
      </c>
      <c r="B930" s="43" t="str">
        <f>CONCATENATE(B762,"; ",B773)</f>
        <v>Restrict access to cardholder data by business need to know; Assign a unique ID to each person with computer access</v>
      </c>
    </row>
    <row r="931" spans="1:2">
      <c r="A931" s="54" t="s">
        <v>2271</v>
      </c>
      <c r="B931" s="43" t="str">
        <f>CONCATENATE(B684,"; ",B773)</f>
        <v>Always change vendor-supplied defaults and remove or disable unnecessary default accounts before installing a system on the network. This applies to ALL default passwords, including but not limited to those used by operating systems, software that provides security services, application and system accounts, point-of-sale (POS) terminals, payment applications, Simple Network Management Protocol (SNMP) community strings, etc.).; Assign a unique ID to each person with computer access</v>
      </c>
    </row>
    <row r="932" spans="1:2">
      <c r="A932" s="54" t="s">
        <v>2272</v>
      </c>
      <c r="B932" s="43" t="str">
        <f>CONCATENATE(B773,"; ",B723)</f>
        <v>Assign a unique ID to each person with computer access; Never send unprotected PANs by end-user messaging technologies (for example, e-mail, instant messaging, SMS, chat, etc.).</v>
      </c>
    </row>
    <row r="933" spans="1:2" ht="75">
      <c r="A933" s="54" t="s">
        <v>2273</v>
      </c>
      <c r="B933" s="43" t="str">
        <f>CONCATENATE(B828,"; ",B837,"; ",B848,"; ",B854,"; ",B858)</f>
        <v>Implement audit trails to link all access to system components to each individual user.; Record at least the following audit trail entries for all system components for each event:; Secure audit trails so they cannot be altered.; Review logs and security events for all system components to identify anomalies or suspicious activity. Note: Log harvesting, parsing, and alerting tools may be used to meet this Requirement.; Retain audit trail history for at least one year, with a minimum of three months immediately available for analysis (for example, online, archived, or restorable from backup).</v>
      </c>
    </row>
    <row r="934" spans="1:2" ht="45">
      <c r="A934" s="54" t="s">
        <v>2274</v>
      </c>
      <c r="B934" s="43" t="str">
        <f>CONCATENATE(B738,"; ",B749,"; ",B750,"; ",B751)</f>
        <v>Follow change control processes and procedures for all changes to system components. The processes must include the following:; 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 Injection flaws, particularly SQL injection. Also consider OS Command Injection, LDAP and XPath injection flaws as well as other injection flaws.; Buffer overflows</v>
      </c>
    </row>
    <row r="935" spans="1:2" ht="30">
      <c r="A935" s="54" t="s">
        <v>2275</v>
      </c>
      <c r="B935" s="43" t="str">
        <f>CONCATENATE(B738,"; ",B907,"; ",B913)</f>
        <v>Follow change control processes and procedures for all changes to system components. The processes must include the following:; Maintain and implement policies and procedures to manage service providers, with whom cardholder data is shared, or that could affect the security of cardholder data, as follows; 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v>
      </c>
    </row>
    <row r="936" spans="1:2">
      <c r="A936" s="54" t="s">
        <v>2276</v>
      </c>
      <c r="B936" s="43" t="str">
        <f>CONCATENATE(B881,"; ",B907)</f>
        <v>Establish, publish, maintain, and disseminate a security policy.; Maintain and implement policies and procedures to manage service providers, with whom cardholder data is shared, or that could affect the security of cardholder data, as follows</v>
      </c>
    </row>
    <row r="937" spans="1:2" ht="30.95" thickBot="1">
      <c r="A937" s="54" t="s">
        <v>2277</v>
      </c>
      <c r="B937" s="43" t="str">
        <f>CONCATENATE(B881,"; ",B907,"; ",B734)</f>
        <v>Establish, publish, maintain, and disseminate a security policy.; Maintain and implement policies and procedures to manage service providers, with whom cardholder data is shared, or that could affect the security of cardholder data, as follows; 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v>
      </c>
    </row>
    <row r="938" spans="1:2" ht="17.100000000000001" thickBot="1">
      <c r="A938" s="56" t="s">
        <v>2278</v>
      </c>
      <c r="B938" s="43" t="str">
        <f>CONCATENATE(B882,"; ",B907)</f>
        <v>Review the security policy at least annually and update the policy when the environment changes.; Maintain and implement policies and procedures to manage service providers, with whom cardholder data is shared, or that could affect the security of cardholder data, as follows</v>
      </c>
    </row>
    <row r="939" spans="1:2" ht="30.95" thickBot="1">
      <c r="A939" s="57" t="s">
        <v>2279</v>
      </c>
      <c r="B939" s="43" t="str">
        <f>CONCATENATE(B881,"; ",B882,"; ",B907)</f>
        <v>Establish, publish, maintain, and disseminate a security policy.; Review the security policy at least annually and update the policy when the environment changes.; Maintain and implement policies and procedures to manage service providers, with whom cardholder data is shared, or that could affect the security of cardholder data, as follows</v>
      </c>
    </row>
    <row r="940" spans="1:2" ht="30.95" thickBot="1">
      <c r="A940" s="57" t="s">
        <v>2280</v>
      </c>
      <c r="B940" s="43" t="str">
        <f>CONCATENATE(B914,"; ",B907,"; ",B738)</f>
        <v>Implement an incident response plan. Be prepared to respond immediately to a system breach.; Maintain and implement policies and procedures to manage service providers, with whom cardholder data is shared, or that could affect the security of cardholder data, as follows; Follow change control processes and procedures for all changes to system components. The processes must include the following:</v>
      </c>
    </row>
    <row r="941" spans="1:2" ht="17.100000000000001" thickBot="1">
      <c r="A941" s="56" t="s">
        <v>2281</v>
      </c>
      <c r="B941" s="43" t="str">
        <f>CONCATENATE(B910,"; ",B799)</f>
        <v>Ensure there is an established process for engaging service providers including proper due diligence prior to engagement.; Restrict physical access to cardholder data</v>
      </c>
    </row>
    <row r="942" spans="1:2" ht="17.100000000000001" thickBot="1">
      <c r="A942" s="57" t="s">
        <v>2282</v>
      </c>
      <c r="B942" s="43" t="str">
        <f>CONCATENATE(B910,"; ",B721)</f>
        <v>Ensure there is an established process for engaging service providers including proper due diligence prior to engagement.; 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Note: Where SSL/early TLS is used, the requirements in Appendix A2 must be completed.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v>
      </c>
    </row>
    <row r="943" spans="1:2" ht="17.100000000000001" thickBot="1">
      <c r="A943" s="56" t="s">
        <v>2283</v>
      </c>
      <c r="B943" s="43" t="str">
        <f>CONCATENATE(B876,"; ",B907)</f>
        <v>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 Maintain and implement policies and procedures to manage service providers, with whom cardholder data is shared, or that could affect the security of cardholder data, as follows</v>
      </c>
    </row>
    <row r="944" spans="1:2" ht="60.95" thickBot="1">
      <c r="A944" s="57" t="s">
        <v>2284</v>
      </c>
      <c r="B944" s="43" t="str">
        <f>CONCATENATE(B661,"; ",B859,"; ",B854,"; ",B837,"; ",B829,"; ",B876)</f>
        <v>Establish and implement firewall and router configuration standards that include the following:; Additional requirement for service providers only: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Note: This requirement is a best practice until January 31, 2018, after which it becomes a requirement.; Review logs and security events for all system components to identify anomalies or suspicious activity. Note: Log harvesting, parsing, and alerting tools may be used to meet this Requirement.; Record at least the following audit trail entries for all system components for each event:; Implement automated audit trails for all system components to reconstruct the following events:; 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v>
      </c>
    </row>
    <row r="945" spans="1:2">
      <c r="A945" s="54" t="s">
        <v>2285</v>
      </c>
      <c r="B945" s="43" t="str">
        <f>CONCATENATE(B881,"; ",B799)</f>
        <v>Establish, publish, maintain, and disseminate a security policy.; Restrict physical access to cardholder data</v>
      </c>
    </row>
    <row r="946" spans="1:2">
      <c r="A946" s="54" t="s">
        <v>2286</v>
      </c>
      <c r="B946" s="43" t="str">
        <f>CONCATENATE(B895,"; ",B897)</f>
        <v>Ensure that the security policy and procedures clearly define information security responsibilities for all personnel.; Assign to an individual or team the following information security management responsibilities:</v>
      </c>
    </row>
    <row r="947" spans="1:2" ht="17.100000000000001" thickBot="1">
      <c r="A947" s="54" t="s">
        <v>2287</v>
      </c>
      <c r="B947" s="43" t="str">
        <f>CONCATENATE(B903,"; ",B749)</f>
        <v>Implement a formal security awareness program to make all personnel aware of the cardholder data security policy and procedures.; Address common coding vulnerabilities in software-development processes as follows: • Train developers at least annually in up-to-date secure coding techniques, including how to avoid common coding vulnerabilities. • Develop applications based on secure coding guidelines.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v>
      </c>
    </row>
    <row r="948" spans="1:2" ht="30.95" thickBot="1">
      <c r="A948" s="56" t="s">
        <v>2288</v>
      </c>
      <c r="B948" s="43" t="str">
        <f>CONCATENATE(B737,"; ",B746)</f>
        <v>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Note: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 Functionality testing to verify that the change does not adversely impact the security of the system.</v>
      </c>
    </row>
    <row r="949" spans="1:2" ht="17.100000000000001" thickBot="1">
      <c r="A949" s="57" t="s">
        <v>2289</v>
      </c>
      <c r="B949" s="43" t="str">
        <f>CONCATENATE(B735,"; ",B736)</f>
        <v>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Note: This applies to all software developed internally as well as bespoke or custom software developed by a third party.; Remove development, test and/or custom application accounts, user IDs, and passwords before applications become active or are released to customers.</v>
      </c>
    </row>
    <row r="950" spans="1:2" ht="30.95" thickBot="1">
      <c r="A950" s="54" t="s">
        <v>2290</v>
      </c>
      <c r="B950" s="43" t="str">
        <f>CONCATENATE(B914,"; ",B907,"; ",B913)</f>
        <v>Implement an incident response plan. Be prepared to respond immediately to a system breach.; Maintain and implement policies and procedures to manage service providers, with whom cardholder data is shared, or that could affect the security of cardholder data, as follows; 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v>
      </c>
    </row>
    <row r="951" spans="1:2" ht="30.95" thickBot="1">
      <c r="A951" s="56" t="s">
        <v>2291</v>
      </c>
      <c r="B951" s="43" t="str">
        <f>CONCATENATE(B903,"; ",B762,"; ",B773,"; ",B799)</f>
        <v>Implement a formal security awareness program to make all personnel aware of the cardholder data security policy and procedures.; Restrict access to cardholder data by business need to know; Assign a unique ID to each person with computer access; Restrict physical access to cardholder data</v>
      </c>
    </row>
    <row r="952" spans="1:2" ht="30.95" thickBot="1">
      <c r="A952" s="57" t="s">
        <v>2292</v>
      </c>
      <c r="B952" s="43" t="str">
        <f>CONCATENATE(B762,"; ",B773,"; ",B799)</f>
        <v>Restrict access to cardholder data by business need to know; Assign a unique ID to each person with computer access; Restrict physical access to cardholder data</v>
      </c>
    </row>
    <row r="953" spans="1:2">
      <c r="A953" s="55" t="s">
        <v>2293</v>
      </c>
      <c r="B953" s="43" t="str">
        <f>CONCATENATE(B881,"; ",B731)</f>
        <v>Establish, publish, maintain, and disseminate a security policy.; Ensure that security policies and operational procedures for protecting systems against malware are documented, in use, and known to all affected parties.</v>
      </c>
    </row>
    <row r="954" spans="1:2" ht="30.95" thickBot="1">
      <c r="A954" s="54" t="s">
        <v>2294</v>
      </c>
      <c r="B954" s="43" t="str">
        <f>CONCATENATE(B881,"; ",B897,"; ",B903)</f>
        <v>Establish, publish, maintain, and disseminate a security policy.; Assign to an individual or team the following information security management responsibilities:; Implement a formal security awareness program to make all personnel aware of the cardholder data security policy and procedures.</v>
      </c>
    </row>
    <row r="955" spans="1:2" ht="17.100000000000001" thickBot="1">
      <c r="A955" s="56" t="s">
        <v>2295</v>
      </c>
      <c r="B955" s="43" t="str">
        <f>CONCATENATE(B866,"; ",B870)</f>
        <v>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 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v>
      </c>
    </row>
    <row r="956" spans="1:2" ht="17.100000000000001" thickBot="1">
      <c r="A956" s="57" t="s">
        <v>2296</v>
      </c>
      <c r="B956" s="43" t="str">
        <f>CONCATENATE(B866,"; ",B907)</f>
        <v>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 Maintain and implement policies and procedures to manage service providers, with whom cardholder data is shared, or that could affect the security of cardholder data, as follows</v>
      </c>
    </row>
    <row r="957" spans="1:2" ht="30">
      <c r="A957" s="54" t="s">
        <v>2297</v>
      </c>
      <c r="B957" s="43" t="str">
        <f>CONCATENATE(B914,"; ",B827)</f>
        <v>Implement an incident response plan. Be prepared to respond immediately to a system breach.; Track and monitor all access to network resources and cardholder data</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57"/>
  <sheetViews>
    <sheetView zoomScaleNormal="100" workbookViewId="0">
      <pane ySplit="2" topLeftCell="A111" activePane="bottomLeft" state="frozen"/>
      <selection pane="bottomLeft" activeCell="B111" sqref="B111"/>
    </sheetView>
  </sheetViews>
  <sheetFormatPr defaultColWidth="0" defaultRowHeight="14.1" zeroHeight="1"/>
  <cols>
    <col min="1" max="1" width="6" style="186" customWidth="1"/>
    <col min="2" max="2" width="8.59765625" style="186" customWidth="1"/>
    <col min="3" max="3" width="31" style="186" customWidth="1"/>
    <col min="4" max="4" width="19.59765625" style="186" customWidth="1"/>
    <col min="5" max="6" width="26.59765625" style="186" customWidth="1"/>
    <col min="7" max="7" width="24.69921875" style="186" customWidth="1"/>
    <col min="8" max="8" width="23" style="186" customWidth="1"/>
    <col min="9" max="9" width="18.59765625" style="186" customWidth="1"/>
    <col min="10" max="10" width="8.09765625" style="186" customWidth="1"/>
    <col min="11" max="11" width="7.59765625" style="190" customWidth="1"/>
    <col min="12" max="14" width="8.59765625" style="186" customWidth="1"/>
    <col min="15" max="15" width="10.59765625" style="186" customWidth="1"/>
    <col min="16" max="16" width="8.59765625" style="186" customWidth="1"/>
    <col min="17" max="21" width="9.19921875" style="186" customWidth="1"/>
    <col min="22" max="22" width="12.09765625" style="186" customWidth="1"/>
    <col min="23" max="23" width="11.3984375" style="186" customWidth="1"/>
    <col min="24" max="24" width="11.5" style="186" customWidth="1"/>
    <col min="25" max="25" width="11.59765625" style="186" customWidth="1"/>
    <col min="26" max="26" width="13.09765625" style="186" customWidth="1"/>
    <col min="27" max="28" width="12.19921875" style="186" customWidth="1"/>
    <col min="29" max="29" width="8.59765625" style="186" customWidth="1"/>
    <col min="30" max="16384" width="8.59765625" style="186" hidden="1"/>
  </cols>
  <sheetData>
    <row r="1" spans="1:28" ht="15">
      <c r="A1" s="244" t="s">
        <v>2298</v>
      </c>
      <c r="B1" s="170"/>
      <c r="C1" s="170" t="s">
        <v>2299</v>
      </c>
      <c r="D1" s="170"/>
      <c r="E1" s="366" t="s">
        <v>2300</v>
      </c>
      <c r="F1" s="364"/>
      <c r="G1" s="364"/>
      <c r="H1" s="370" t="s">
        <v>2301</v>
      </c>
      <c r="I1" s="371"/>
      <c r="J1" s="367" t="s">
        <v>2302</v>
      </c>
      <c r="K1" s="364"/>
      <c r="L1" s="364"/>
      <c r="M1" s="368" t="s">
        <v>2303</v>
      </c>
      <c r="N1" s="364"/>
      <c r="O1" s="364"/>
      <c r="P1" s="364"/>
      <c r="Q1" s="364"/>
      <c r="R1" s="364"/>
      <c r="S1" s="364"/>
      <c r="T1" s="364"/>
      <c r="U1" s="369" t="s">
        <v>2304</v>
      </c>
      <c r="V1" s="369"/>
      <c r="W1" s="369"/>
      <c r="X1" s="369"/>
      <c r="Y1" s="369"/>
      <c r="Z1" s="369"/>
      <c r="AA1" s="369"/>
      <c r="AB1" s="369"/>
    </row>
    <row r="2" spans="1:28" s="196" customFormat="1" ht="75">
      <c r="A2" s="191" t="s">
        <v>2305</v>
      </c>
      <c r="B2" s="192" t="s">
        <v>528</v>
      </c>
      <c r="C2" s="192" t="s">
        <v>529</v>
      </c>
      <c r="D2" s="192" t="s">
        <v>2306</v>
      </c>
      <c r="E2" s="172" t="s">
        <v>2307</v>
      </c>
      <c r="F2" s="172" t="s">
        <v>2308</v>
      </c>
      <c r="G2" s="172" t="s">
        <v>2309</v>
      </c>
      <c r="H2" s="171" t="s">
        <v>542</v>
      </c>
      <c r="I2" s="171" t="s">
        <v>2310</v>
      </c>
      <c r="J2" s="193" t="s">
        <v>2311</v>
      </c>
      <c r="K2" s="194" t="s">
        <v>2312</v>
      </c>
      <c r="L2" s="193" t="s">
        <v>2313</v>
      </c>
      <c r="M2" s="174" t="s">
        <v>2314</v>
      </c>
      <c r="N2" s="174" t="s">
        <v>2315</v>
      </c>
      <c r="O2" s="174" t="s">
        <v>2316</v>
      </c>
      <c r="P2" s="174" t="s">
        <v>2317</v>
      </c>
      <c r="Q2" s="174" t="s">
        <v>534</v>
      </c>
      <c r="R2" s="174" t="s">
        <v>2318</v>
      </c>
      <c r="S2" s="174" t="s">
        <v>2319</v>
      </c>
      <c r="T2" s="174" t="s">
        <v>524</v>
      </c>
      <c r="U2" s="195" t="s">
        <v>2320</v>
      </c>
      <c r="V2" s="195" t="s">
        <v>2321</v>
      </c>
      <c r="W2" s="195" t="s">
        <v>2322</v>
      </c>
      <c r="X2" s="195" t="s">
        <v>2323</v>
      </c>
      <c r="Y2" s="195" t="s">
        <v>2324</v>
      </c>
      <c r="Z2" s="195" t="s">
        <v>2325</v>
      </c>
      <c r="AA2" s="195" t="s">
        <v>2326</v>
      </c>
      <c r="AB2" s="195" t="s">
        <v>2327</v>
      </c>
    </row>
    <row r="3" spans="1:28" ht="15">
      <c r="A3" s="169"/>
      <c r="B3" s="179" t="s">
        <v>66</v>
      </c>
      <c r="C3" s="170" t="s">
        <v>512</v>
      </c>
      <c r="D3" s="170" t="str">
        <f>VLOOKUP(B3,'HECVAT - Full | Vendor Response'!A$4:D$320,4,TRUE)</f>
        <v>Weave saves all audit logs in AWS cloudwatch</v>
      </c>
      <c r="E3" s="265"/>
      <c r="F3" s="265"/>
      <c r="G3" s="265"/>
      <c r="H3" s="171"/>
      <c r="I3" s="171"/>
      <c r="J3" s="266"/>
      <c r="K3" s="173"/>
      <c r="L3" s="266"/>
      <c r="M3" s="267"/>
      <c r="N3" s="267"/>
      <c r="O3" s="267"/>
      <c r="P3" s="267"/>
      <c r="Q3" s="267"/>
      <c r="R3" s="267"/>
      <c r="S3" s="267"/>
      <c r="T3" s="267"/>
      <c r="U3" s="164" t="s">
        <v>115</v>
      </c>
      <c r="V3" s="164" t="s">
        <v>115</v>
      </c>
      <c r="W3" s="164" t="s">
        <v>115</v>
      </c>
      <c r="X3" s="164" t="s">
        <v>115</v>
      </c>
      <c r="Y3" s="164" t="s">
        <v>115</v>
      </c>
      <c r="Z3" s="164" t="s">
        <v>115</v>
      </c>
      <c r="AA3" s="164" t="s">
        <v>115</v>
      </c>
      <c r="AB3" s="164" t="s">
        <v>115</v>
      </c>
    </row>
    <row r="4" spans="1:28" ht="15">
      <c r="A4" s="169"/>
      <c r="B4" s="179" t="s">
        <v>68</v>
      </c>
      <c r="C4" s="170" t="s">
        <v>513</v>
      </c>
      <c r="D4" s="170" t="str">
        <f>VLOOKUP(B4,'HECVAT - Full | Vendor Response'!A$4:D$320,4,TRUE)</f>
        <v>Weave saves all audit logs in AWS cloudwatch</v>
      </c>
      <c r="E4" s="265"/>
      <c r="F4" s="265"/>
      <c r="G4" s="265"/>
      <c r="H4" s="171"/>
      <c r="I4" s="171"/>
      <c r="J4" s="266"/>
      <c r="K4" s="173"/>
      <c r="L4" s="266"/>
      <c r="M4" s="267"/>
      <c r="N4" s="267"/>
      <c r="O4" s="267"/>
      <c r="P4" s="267"/>
      <c r="Q4" s="267"/>
      <c r="R4" s="267"/>
      <c r="S4" s="267"/>
      <c r="T4" s="267"/>
      <c r="U4" s="164" t="s">
        <v>115</v>
      </c>
      <c r="V4" s="164" t="s">
        <v>115</v>
      </c>
      <c r="W4" s="164" t="s">
        <v>115</v>
      </c>
      <c r="X4" s="164" t="s">
        <v>115</v>
      </c>
      <c r="Y4" s="164" t="s">
        <v>115</v>
      </c>
      <c r="Z4" s="164" t="s">
        <v>115</v>
      </c>
      <c r="AA4" s="164" t="s">
        <v>115</v>
      </c>
      <c r="AB4" s="164" t="s">
        <v>115</v>
      </c>
    </row>
    <row r="5" spans="1:28" ht="15">
      <c r="A5" s="169"/>
      <c r="B5" s="179" t="s">
        <v>70</v>
      </c>
      <c r="C5" s="170" t="s">
        <v>515</v>
      </c>
      <c r="D5" s="170" t="str">
        <f>VLOOKUP(B5,'HECVAT - Full | Vendor Response'!A$4:D$320,4,TRUE)</f>
        <v>Weave saves all audit logs in AWS cloudwatch</v>
      </c>
      <c r="E5" s="265"/>
      <c r="F5" s="265"/>
      <c r="G5" s="265"/>
      <c r="H5" s="171"/>
      <c r="I5" s="171"/>
      <c r="J5" s="266"/>
      <c r="K5" s="173"/>
      <c r="L5" s="266"/>
      <c r="M5" s="267"/>
      <c r="N5" s="267"/>
      <c r="O5" s="267"/>
      <c r="P5" s="267"/>
      <c r="Q5" s="267"/>
      <c r="R5" s="267"/>
      <c r="S5" s="267"/>
      <c r="T5" s="267"/>
      <c r="U5" s="164" t="s">
        <v>115</v>
      </c>
      <c r="V5" s="164" t="s">
        <v>115</v>
      </c>
      <c r="W5" s="164" t="s">
        <v>115</v>
      </c>
      <c r="X5" s="164" t="s">
        <v>115</v>
      </c>
      <c r="Y5" s="164" t="s">
        <v>115</v>
      </c>
      <c r="Z5" s="164" t="s">
        <v>115</v>
      </c>
      <c r="AA5" s="164" t="s">
        <v>115</v>
      </c>
      <c r="AB5" s="164" t="s">
        <v>115</v>
      </c>
    </row>
    <row r="6" spans="1:28" ht="15">
      <c r="A6" s="169"/>
      <c r="B6" s="179" t="s">
        <v>72</v>
      </c>
      <c r="C6" s="170" t="s">
        <v>2328</v>
      </c>
      <c r="D6" s="170" t="str">
        <f>VLOOKUP(B6,'HECVAT - Full | Vendor Response'!A$4:D$320,4,TRUE)</f>
        <v>Weave saves all audit logs in AWS cloudwatch</v>
      </c>
      <c r="E6" s="265"/>
      <c r="F6" s="265"/>
      <c r="G6" s="265"/>
      <c r="H6" s="171"/>
      <c r="I6" s="171"/>
      <c r="J6" s="266"/>
      <c r="K6" s="173"/>
      <c r="L6" s="266"/>
      <c r="M6" s="267"/>
      <c r="N6" s="267"/>
      <c r="O6" s="267"/>
      <c r="P6" s="267"/>
      <c r="Q6" s="267"/>
      <c r="R6" s="267"/>
      <c r="S6" s="267"/>
      <c r="T6" s="267"/>
      <c r="U6" s="164" t="s">
        <v>115</v>
      </c>
      <c r="V6" s="164" t="s">
        <v>115</v>
      </c>
      <c r="W6" s="164" t="s">
        <v>115</v>
      </c>
      <c r="X6" s="164" t="s">
        <v>115</v>
      </c>
      <c r="Y6" s="164" t="s">
        <v>115</v>
      </c>
      <c r="Z6" s="164" t="s">
        <v>115</v>
      </c>
      <c r="AA6" s="164" t="s">
        <v>115</v>
      </c>
      <c r="AB6" s="164" t="s">
        <v>115</v>
      </c>
    </row>
    <row r="7" spans="1:28" ht="31.5" customHeight="1">
      <c r="A7" s="169"/>
      <c r="B7" s="179" t="s">
        <v>74</v>
      </c>
      <c r="C7" s="170" t="s">
        <v>2329</v>
      </c>
      <c r="D7" s="170" t="str">
        <f>VLOOKUP(B7,'HECVAT - Full | Vendor Response'!A$4:D$320,4,TRUE)</f>
        <v>Weave saves all audit logs in AWS cloudwatch</v>
      </c>
      <c r="E7" s="265"/>
      <c r="F7" s="265"/>
      <c r="G7" s="265"/>
      <c r="H7" s="171"/>
      <c r="I7" s="171"/>
      <c r="J7" s="266"/>
      <c r="K7" s="173"/>
      <c r="L7" s="266"/>
      <c r="M7" s="267"/>
      <c r="N7" s="267"/>
      <c r="O7" s="267"/>
      <c r="P7" s="267"/>
      <c r="Q7" s="267"/>
      <c r="R7" s="267"/>
      <c r="S7" s="267"/>
      <c r="T7" s="267"/>
      <c r="U7" s="164" t="s">
        <v>115</v>
      </c>
      <c r="V7" s="164" t="s">
        <v>115</v>
      </c>
      <c r="W7" s="164" t="s">
        <v>115</v>
      </c>
      <c r="X7" s="164" t="s">
        <v>115</v>
      </c>
      <c r="Y7" s="164" t="s">
        <v>115</v>
      </c>
      <c r="Z7" s="164" t="s">
        <v>115</v>
      </c>
      <c r="AA7" s="164" t="s">
        <v>115</v>
      </c>
      <c r="AB7" s="164" t="s">
        <v>115</v>
      </c>
    </row>
    <row r="8" spans="1:28" ht="15">
      <c r="A8" s="169"/>
      <c r="B8" s="179" t="s">
        <v>76</v>
      </c>
      <c r="C8" s="170" t="s">
        <v>514</v>
      </c>
      <c r="D8" s="170" t="str">
        <f>VLOOKUP(B8,'HECVAT - Full | Vendor Response'!A$4:D$320,4,TRUE)</f>
        <v>Weave saves all audit logs in AWS cloudwatch</v>
      </c>
      <c r="E8" s="265"/>
      <c r="F8" s="265"/>
      <c r="G8" s="265"/>
      <c r="H8" s="171"/>
      <c r="I8" s="171"/>
      <c r="J8" s="266"/>
      <c r="K8" s="173"/>
      <c r="L8" s="266"/>
      <c r="M8" s="267"/>
      <c r="N8" s="267"/>
      <c r="O8" s="267"/>
      <c r="P8" s="267"/>
      <c r="Q8" s="267"/>
      <c r="R8" s="267"/>
      <c r="S8" s="267"/>
      <c r="T8" s="267"/>
      <c r="U8" s="164" t="s">
        <v>115</v>
      </c>
      <c r="V8" s="164" t="s">
        <v>115</v>
      </c>
      <c r="W8" s="164" t="s">
        <v>115</v>
      </c>
      <c r="X8" s="164" t="s">
        <v>115</v>
      </c>
      <c r="Y8" s="164" t="s">
        <v>115</v>
      </c>
      <c r="Z8" s="164" t="s">
        <v>115</v>
      </c>
      <c r="AA8" s="164" t="s">
        <v>115</v>
      </c>
      <c r="AB8" s="164" t="s">
        <v>115</v>
      </c>
    </row>
    <row r="9" spans="1:28" ht="15">
      <c r="A9" s="169"/>
      <c r="B9" s="179" t="s">
        <v>78</v>
      </c>
      <c r="C9" s="170" t="s">
        <v>516</v>
      </c>
      <c r="D9" s="170" t="str">
        <f>VLOOKUP(B9,'HECVAT - Full | Vendor Response'!A$4:D$320,4,TRUE)</f>
        <v>Weave saves all audit logs in AWS cloudwatch</v>
      </c>
      <c r="E9" s="265"/>
      <c r="F9" s="265"/>
      <c r="G9" s="265"/>
      <c r="H9" s="171"/>
      <c r="I9" s="171"/>
      <c r="J9" s="266"/>
      <c r="K9" s="173"/>
      <c r="L9" s="266"/>
      <c r="M9" s="267"/>
      <c r="N9" s="267"/>
      <c r="O9" s="267"/>
      <c r="P9" s="267"/>
      <c r="Q9" s="267"/>
      <c r="R9" s="267"/>
      <c r="S9" s="267"/>
      <c r="T9" s="267"/>
      <c r="U9" s="164" t="s">
        <v>115</v>
      </c>
      <c r="V9" s="164" t="s">
        <v>115</v>
      </c>
      <c r="W9" s="164" t="s">
        <v>115</v>
      </c>
      <c r="X9" s="164" t="s">
        <v>115</v>
      </c>
      <c r="Y9" s="164" t="s">
        <v>115</v>
      </c>
      <c r="Z9" s="164" t="s">
        <v>115</v>
      </c>
      <c r="AA9" s="164" t="s">
        <v>115</v>
      </c>
      <c r="AB9" s="164" t="s">
        <v>115</v>
      </c>
    </row>
    <row r="10" spans="1:28" ht="15">
      <c r="A10" s="169"/>
      <c r="B10" s="179" t="s">
        <v>80</v>
      </c>
      <c r="C10" s="170" t="s">
        <v>2330</v>
      </c>
      <c r="D10" s="170" t="str">
        <f>VLOOKUP(B10,'HECVAT - Full | Vendor Response'!A$4:D$320,4,TRUE)</f>
        <v>Weave saves all audit logs in AWS cloudwatch</v>
      </c>
      <c r="E10" s="265"/>
      <c r="F10" s="265"/>
      <c r="G10" s="265"/>
      <c r="H10" s="171"/>
      <c r="I10" s="171"/>
      <c r="J10" s="266"/>
      <c r="K10" s="173"/>
      <c r="L10" s="266"/>
      <c r="M10" s="267"/>
      <c r="N10" s="267"/>
      <c r="O10" s="267"/>
      <c r="P10" s="267"/>
      <c r="Q10" s="267"/>
      <c r="R10" s="267"/>
      <c r="S10" s="267"/>
      <c r="T10" s="267"/>
      <c r="U10" s="164" t="s">
        <v>115</v>
      </c>
      <c r="V10" s="164" t="s">
        <v>115</v>
      </c>
      <c r="W10" s="164" t="s">
        <v>115</v>
      </c>
      <c r="X10" s="164" t="s">
        <v>115</v>
      </c>
      <c r="Y10" s="164" t="s">
        <v>115</v>
      </c>
      <c r="Z10" s="164" t="s">
        <v>115</v>
      </c>
      <c r="AA10" s="164" t="s">
        <v>115</v>
      </c>
      <c r="AB10" s="164" t="s">
        <v>115</v>
      </c>
    </row>
    <row r="11" spans="1:28" ht="15">
      <c r="A11" s="169"/>
      <c r="B11" s="179" t="s">
        <v>82</v>
      </c>
      <c r="C11" s="170" t="s">
        <v>2331</v>
      </c>
      <c r="D11" s="170" t="str">
        <f>VLOOKUP(B11,'HECVAT - Full | Vendor Response'!A$4:D$320,4,TRUE)</f>
        <v>Weave saves all audit logs in AWS cloudwatch</v>
      </c>
      <c r="E11" s="265"/>
      <c r="F11" s="265"/>
      <c r="G11" s="265"/>
      <c r="H11" s="171"/>
      <c r="I11" s="171"/>
      <c r="J11" s="266"/>
      <c r="K11" s="173"/>
      <c r="L11" s="266"/>
      <c r="M11" s="267"/>
      <c r="N11" s="267"/>
      <c r="O11" s="267"/>
      <c r="P11" s="267"/>
      <c r="Q11" s="267"/>
      <c r="R11" s="267"/>
      <c r="S11" s="267"/>
      <c r="T11" s="267"/>
      <c r="U11" s="164" t="s">
        <v>115</v>
      </c>
      <c r="V11" s="164" t="s">
        <v>115</v>
      </c>
      <c r="W11" s="164" t="s">
        <v>115</v>
      </c>
      <c r="X11" s="164" t="s">
        <v>115</v>
      </c>
      <c r="Y11" s="164" t="s">
        <v>115</v>
      </c>
      <c r="Z11" s="164" t="s">
        <v>115</v>
      </c>
      <c r="AA11" s="164" t="s">
        <v>115</v>
      </c>
      <c r="AB11" s="164" t="s">
        <v>115</v>
      </c>
    </row>
    <row r="12" spans="1:28" ht="15">
      <c r="A12" s="169"/>
      <c r="B12" s="179" t="s">
        <v>84</v>
      </c>
      <c r="C12" s="170" t="s">
        <v>2332</v>
      </c>
      <c r="D12" s="170" t="str">
        <f>VLOOKUP(B12,'HECVAT - Full | Vendor Response'!A$4:D$320,4,TRUE)</f>
        <v>Weave saves all audit logs in AWS cloudwatch</v>
      </c>
      <c r="E12" s="265"/>
      <c r="F12" s="265"/>
      <c r="G12" s="265"/>
      <c r="H12" s="171"/>
      <c r="I12" s="171"/>
      <c r="J12" s="266"/>
      <c r="K12" s="173"/>
      <c r="L12" s="266"/>
      <c r="M12" s="267"/>
      <c r="N12" s="267"/>
      <c r="O12" s="267"/>
      <c r="P12" s="267"/>
      <c r="Q12" s="267"/>
      <c r="R12" s="267"/>
      <c r="S12" s="267"/>
      <c r="T12" s="267"/>
      <c r="U12" s="164" t="s">
        <v>115</v>
      </c>
      <c r="V12" s="164" t="s">
        <v>115</v>
      </c>
      <c r="W12" s="164" t="s">
        <v>115</v>
      </c>
      <c r="X12" s="164" t="s">
        <v>115</v>
      </c>
      <c r="Y12" s="164" t="s">
        <v>115</v>
      </c>
      <c r="Z12" s="164" t="s">
        <v>115</v>
      </c>
      <c r="AA12" s="164" t="s">
        <v>115</v>
      </c>
      <c r="AB12" s="164" t="s">
        <v>115</v>
      </c>
    </row>
    <row r="13" spans="1:28" ht="15">
      <c r="A13" s="169"/>
      <c r="B13" s="179" t="s">
        <v>85</v>
      </c>
      <c r="C13" s="170" t="s">
        <v>2333</v>
      </c>
      <c r="D13" s="170" t="str">
        <f>VLOOKUP(B13,'HECVAT - Full | Vendor Response'!A$4:D$320,4,TRUE)</f>
        <v>Weave saves all audit logs in AWS cloudwatch</v>
      </c>
      <c r="E13" s="265"/>
      <c r="F13" s="265"/>
      <c r="G13" s="265"/>
      <c r="H13" s="171"/>
      <c r="I13" s="171"/>
      <c r="J13" s="266"/>
      <c r="K13" s="173"/>
      <c r="L13" s="266"/>
      <c r="M13" s="267"/>
      <c r="N13" s="267"/>
      <c r="O13" s="267"/>
      <c r="P13" s="267"/>
      <c r="Q13" s="267"/>
      <c r="R13" s="267"/>
      <c r="S13" s="267"/>
      <c r="T13" s="267"/>
      <c r="U13" s="164" t="s">
        <v>115</v>
      </c>
      <c r="V13" s="164" t="s">
        <v>115</v>
      </c>
      <c r="W13" s="164" t="s">
        <v>115</v>
      </c>
      <c r="X13" s="164" t="s">
        <v>115</v>
      </c>
      <c r="Y13" s="164" t="s">
        <v>115</v>
      </c>
      <c r="Z13" s="164" t="s">
        <v>115</v>
      </c>
      <c r="AA13" s="164" t="s">
        <v>115</v>
      </c>
      <c r="AB13" s="164" t="s">
        <v>115</v>
      </c>
    </row>
    <row r="14" spans="1:28" ht="15">
      <c r="A14" s="169"/>
      <c r="B14" s="179" t="s">
        <v>86</v>
      </c>
      <c r="C14" s="170" t="s">
        <v>2334</v>
      </c>
      <c r="D14" s="170" t="str">
        <f>VLOOKUP(B14,'HECVAT - Full | Vendor Response'!A$4:D$320,4,TRUE)</f>
        <v>Weave saves all audit logs in AWS cloudwatch</v>
      </c>
      <c r="E14" s="265"/>
      <c r="F14" s="265"/>
      <c r="G14" s="265"/>
      <c r="H14" s="171"/>
      <c r="I14" s="171"/>
      <c r="J14" s="266"/>
      <c r="K14" s="173"/>
      <c r="L14" s="266"/>
      <c r="M14" s="267"/>
      <c r="N14" s="267"/>
      <c r="O14" s="267"/>
      <c r="P14" s="267"/>
      <c r="Q14" s="267"/>
      <c r="R14" s="267"/>
      <c r="S14" s="267"/>
      <c r="T14" s="267"/>
      <c r="U14" s="164" t="s">
        <v>115</v>
      </c>
      <c r="V14" s="164" t="s">
        <v>115</v>
      </c>
      <c r="W14" s="164" t="s">
        <v>115</v>
      </c>
      <c r="X14" s="164" t="s">
        <v>115</v>
      </c>
      <c r="Y14" s="164" t="s">
        <v>115</v>
      </c>
      <c r="Z14" s="164" t="s">
        <v>115</v>
      </c>
      <c r="AA14" s="164" t="s">
        <v>115</v>
      </c>
      <c r="AB14" s="164" t="s">
        <v>115</v>
      </c>
    </row>
    <row r="15" spans="1:28" ht="14.25" customHeight="1">
      <c r="A15" s="169"/>
      <c r="B15" s="179" t="s">
        <v>87</v>
      </c>
      <c r="C15" s="170" t="s">
        <v>2335</v>
      </c>
      <c r="D15" s="170" t="str">
        <f>VLOOKUP(B15,'HECVAT - Full | Vendor Response'!A$4:D$320,4,TRUE)</f>
        <v>Weave saves all audit logs in AWS cloudwatch</v>
      </c>
      <c r="E15" s="265"/>
      <c r="F15" s="265"/>
      <c r="G15" s="265"/>
      <c r="H15" s="171"/>
      <c r="I15" s="171"/>
      <c r="J15" s="266"/>
      <c r="K15" s="173"/>
      <c r="L15" s="266"/>
      <c r="M15" s="267"/>
      <c r="N15" s="267"/>
      <c r="O15" s="267"/>
      <c r="P15" s="267"/>
      <c r="Q15" s="267"/>
      <c r="R15" s="267"/>
      <c r="S15" s="267"/>
      <c r="T15" s="267"/>
      <c r="U15" s="164" t="s">
        <v>115</v>
      </c>
      <c r="V15" s="164" t="s">
        <v>115</v>
      </c>
      <c r="W15" s="164" t="s">
        <v>115</v>
      </c>
      <c r="X15" s="164" t="s">
        <v>115</v>
      </c>
      <c r="Y15" s="164" t="s">
        <v>115</v>
      </c>
      <c r="Z15" s="164" t="s">
        <v>115</v>
      </c>
      <c r="AA15" s="164" t="s">
        <v>115</v>
      </c>
      <c r="AB15" s="164" t="s">
        <v>115</v>
      </c>
    </row>
    <row r="16" spans="1:28" ht="60">
      <c r="A16" s="169"/>
      <c r="B16" s="179" t="s">
        <v>88</v>
      </c>
      <c r="C16" s="170" t="s">
        <v>49</v>
      </c>
      <c r="D16" s="170" t="str">
        <f>VLOOKUP(B16,'HECVAT - Full | Vendor Response'!A$4:D$320,4,TRUE)</f>
        <v>Weave saves all audit logs in AWS cloudwatch</v>
      </c>
      <c r="E16" s="265"/>
      <c r="F16" s="265"/>
      <c r="G16" s="265"/>
      <c r="H16" s="175" t="s">
        <v>2336</v>
      </c>
      <c r="I16" s="175" t="s">
        <v>2337</v>
      </c>
      <c r="J16" s="266"/>
      <c r="K16" s="173"/>
      <c r="L16" s="266"/>
      <c r="M16" s="267"/>
      <c r="N16" s="267"/>
      <c r="O16" s="267"/>
      <c r="P16" s="267"/>
      <c r="Q16" s="267"/>
      <c r="R16" s="267"/>
      <c r="S16" s="267"/>
      <c r="T16" s="267"/>
      <c r="U16" s="164" t="s">
        <v>115</v>
      </c>
      <c r="V16" s="164" t="s">
        <v>115</v>
      </c>
      <c r="W16" s="164" t="s">
        <v>115</v>
      </c>
      <c r="X16" s="164" t="s">
        <v>115</v>
      </c>
      <c r="Y16" s="164" t="s">
        <v>115</v>
      </c>
      <c r="Z16" s="164" t="s">
        <v>115</v>
      </c>
      <c r="AA16" s="164" t="s">
        <v>115</v>
      </c>
      <c r="AB16" s="164" t="s">
        <v>115</v>
      </c>
    </row>
    <row r="17" spans="1:28" ht="56.25" customHeight="1">
      <c r="A17" s="169"/>
      <c r="B17" s="179" t="s">
        <v>90</v>
      </c>
      <c r="C17" s="170" t="s">
        <v>51</v>
      </c>
      <c r="D17" s="170" t="str">
        <f>VLOOKUP(B17,'HECVAT - Full | Vendor Response'!A$4:D$320,4,TRUE)</f>
        <v>Weave saves all audit logs in AWS cloudwatch</v>
      </c>
      <c r="E17" s="265"/>
      <c r="F17" s="265"/>
      <c r="G17" s="265"/>
      <c r="H17" s="175" t="s">
        <v>2338</v>
      </c>
      <c r="I17" s="175" t="s">
        <v>2337</v>
      </c>
      <c r="J17" s="266"/>
      <c r="K17" s="173"/>
      <c r="L17" s="266"/>
      <c r="M17" s="267"/>
      <c r="N17" s="267"/>
      <c r="O17" s="267"/>
      <c r="P17" s="267"/>
      <c r="Q17" s="267"/>
      <c r="R17" s="267"/>
      <c r="S17" s="267"/>
      <c r="T17" s="267"/>
      <c r="U17" s="164" t="s">
        <v>115</v>
      </c>
      <c r="V17" s="164" t="s">
        <v>115</v>
      </c>
      <c r="W17" s="164" t="s">
        <v>115</v>
      </c>
      <c r="X17" s="164" t="s">
        <v>115</v>
      </c>
      <c r="Y17" s="164" t="s">
        <v>115</v>
      </c>
      <c r="Z17" s="164" t="s">
        <v>115</v>
      </c>
      <c r="AA17" s="164" t="s">
        <v>115</v>
      </c>
      <c r="AB17" s="164" t="s">
        <v>115</v>
      </c>
    </row>
    <row r="18" spans="1:28" ht="60">
      <c r="A18" s="169">
        <v>1</v>
      </c>
      <c r="B18" s="170" t="s">
        <v>99</v>
      </c>
      <c r="C18" s="170" t="s">
        <v>2339</v>
      </c>
      <c r="D18" s="170" t="str">
        <f>VLOOKUP(B18,'HECVAT - Full | Vendor Response'!A$4:D$320,4,TRUE)</f>
        <v>Upon request, an institution can access a demo account.</v>
      </c>
      <c r="E18" s="265" t="s">
        <v>2340</v>
      </c>
      <c r="F18" s="265" t="s">
        <v>2341</v>
      </c>
      <c r="G18" s="265" t="s">
        <v>2342</v>
      </c>
      <c r="H18" s="175" t="s">
        <v>2343</v>
      </c>
      <c r="I18" s="175" t="s">
        <v>2344</v>
      </c>
      <c r="J18" s="266" t="b">
        <v>1</v>
      </c>
      <c r="K18" s="173">
        <v>1</v>
      </c>
      <c r="L18" s="266" t="s">
        <v>33</v>
      </c>
      <c r="M18" s="267" t="s">
        <v>102</v>
      </c>
      <c r="N18" s="267" t="str">
        <f>VLOOKUP(B18,'HECVAT - Full | Vendor Response'!A:E,3,FALSE)</f>
        <v>No</v>
      </c>
      <c r="O18" s="267" t="str">
        <f>IF(LEN(VLOOKUP(B18,'Analyst Report'!$A:$I,6,TRUE))= 0,"",VLOOKUP(B18,'Analyst Report'!$A:$I,6,FALSE))</f>
        <v/>
      </c>
      <c r="P18" s="267">
        <f>IF((O18=""),(IF(ISNUMBER(FIND(M18,N18)), 1, 0)),(IF(ISNUMBER(FIND(M18,O18)), 1, 0)))</f>
        <v>0</v>
      </c>
      <c r="Q18" s="267">
        <v>10</v>
      </c>
      <c r="R18" s="267">
        <f>IF(LEN(VLOOKUP(B18,'Analyst Report'!$A$31:$I$288,8,TRUE))= 0,"",VLOOKUP(B18,'Analyst Report'!$A$31:$I$288,8,TRUE))</f>
        <v>15</v>
      </c>
      <c r="S18" s="267">
        <f>(IF((ISNUMBER(R18)),R18,Q18))*K18</f>
        <v>15</v>
      </c>
      <c r="T18" s="267">
        <f>P18*S18</f>
        <v>0</v>
      </c>
      <c r="U18" s="164" t="s">
        <v>115</v>
      </c>
      <c r="V18" s="164" t="s">
        <v>115</v>
      </c>
      <c r="W18" s="164" t="s">
        <v>115</v>
      </c>
      <c r="X18" s="164" t="s">
        <v>115</v>
      </c>
      <c r="Y18" s="164" t="s">
        <v>115</v>
      </c>
      <c r="Z18" s="164" t="s">
        <v>115</v>
      </c>
      <c r="AA18" s="164" t="s">
        <v>115</v>
      </c>
      <c r="AB18" s="164" t="s">
        <v>115</v>
      </c>
    </row>
    <row r="19" spans="1:28" ht="135">
      <c r="A19" s="169">
        <f>A18+1</f>
        <v>2</v>
      </c>
      <c r="B19" s="170" t="s">
        <v>101</v>
      </c>
      <c r="C19" s="170" t="s">
        <v>2345</v>
      </c>
      <c r="D19" s="170" t="str">
        <f>VLOOKUP(B19,'HECVAT - Full | Vendor Response'!A$4:D$320,4,TRUE)</f>
        <v>Upon request, an institution can access a demo account.</v>
      </c>
      <c r="E19" s="265" t="s">
        <v>2346</v>
      </c>
      <c r="F19" s="265" t="s">
        <v>2347</v>
      </c>
      <c r="G19" s="265" t="s">
        <v>2348</v>
      </c>
      <c r="H19" s="175" t="s">
        <v>2349</v>
      </c>
      <c r="I19" s="175" t="s">
        <v>2350</v>
      </c>
      <c r="J19" s="266" t="b">
        <v>1</v>
      </c>
      <c r="K19" s="173">
        <v>1</v>
      </c>
      <c r="L19" s="266" t="s">
        <v>33</v>
      </c>
      <c r="M19" s="267" t="s">
        <v>100</v>
      </c>
      <c r="N19" s="267" t="str">
        <f>VLOOKUP(B19,'HECVAT - Full | Vendor Response'!A:E,3,FALSE)</f>
        <v>Yes</v>
      </c>
      <c r="O19" s="267" t="str">
        <f>IF(LEN(VLOOKUP(B19,'Analyst Report'!$A:$I,6,TRUE))= 0,"",VLOOKUP(B19,'Analyst Report'!$A:$I,6,FALSE))</f>
        <v/>
      </c>
      <c r="P19" s="267">
        <f t="shared" ref="P19:P73" si="0">IF((O19=""),(IF(ISNUMBER(FIND(M19,N19)), 1, 0)),(IF(ISNUMBER(FIND(M19,O19)), 1, 0)))</f>
        <v>0</v>
      </c>
      <c r="Q19" s="267">
        <v>10</v>
      </c>
      <c r="R19" s="267">
        <f>IF(LEN(VLOOKUP(B19,'Analyst Report'!$A$31:$I$288,8,TRUE))= 0,"",VLOOKUP(B19,'Analyst Report'!$A$31:$I$288,8,TRUE))</f>
        <v>15</v>
      </c>
      <c r="S19" s="267">
        <f t="shared" ref="S19:S85" si="1">(IF((ISNUMBER(R19)),R19,Q19))*K19</f>
        <v>15</v>
      </c>
      <c r="T19" s="267">
        <f t="shared" ref="T19:T73" si="2">P19*S19</f>
        <v>0</v>
      </c>
      <c r="U19" s="164" t="s">
        <v>115</v>
      </c>
      <c r="V19" s="164" t="s">
        <v>115</v>
      </c>
      <c r="W19" s="164" t="s">
        <v>115</v>
      </c>
      <c r="X19" s="164" t="s">
        <v>115</v>
      </c>
      <c r="Y19" s="164" t="s">
        <v>115</v>
      </c>
      <c r="Z19" s="164" t="s">
        <v>115</v>
      </c>
      <c r="AA19" s="164" t="s">
        <v>115</v>
      </c>
      <c r="AB19" s="164" t="s">
        <v>115</v>
      </c>
    </row>
    <row r="20" spans="1:28" ht="105">
      <c r="A20" s="169">
        <f t="shared" ref="A20:A86" si="3">A19+1</f>
        <v>3</v>
      </c>
      <c r="B20" s="170" t="s">
        <v>104</v>
      </c>
      <c r="C20" s="170" t="s">
        <v>2351</v>
      </c>
      <c r="D20" s="170" t="str">
        <f>VLOOKUP(B20,'HECVAT - Full | Vendor Response'!A$4:D$320,4,TRUE)</f>
        <v>Upon request, an institution can access a demo account.</v>
      </c>
      <c r="E20" s="265" t="s">
        <v>115</v>
      </c>
      <c r="F20" s="265" t="s">
        <v>2352</v>
      </c>
      <c r="G20" s="265" t="s">
        <v>2353</v>
      </c>
      <c r="H20" s="175" t="s">
        <v>2354</v>
      </c>
      <c r="I20" s="175" t="s">
        <v>2355</v>
      </c>
      <c r="J20" s="266" t="b">
        <v>1</v>
      </c>
      <c r="K20" s="173">
        <v>1</v>
      </c>
      <c r="L20" s="266" t="s">
        <v>33</v>
      </c>
      <c r="M20" s="267" t="s">
        <v>102</v>
      </c>
      <c r="N20" s="267" t="str">
        <f>VLOOKUP(B20,'HECVAT - Full | Vendor Response'!A:E,3,FALSE)</f>
        <v>Yes</v>
      </c>
      <c r="O20" s="267" t="str">
        <f>IF(LEN(VLOOKUP(B20,'Analyst Report'!$A:$I,6,TRUE))= 0,"",VLOOKUP(B20,'Analyst Report'!$A:$I,6,TRUE))</f>
        <v/>
      </c>
      <c r="P20" s="267">
        <f t="shared" si="0"/>
        <v>1</v>
      </c>
      <c r="Q20" s="267">
        <v>10</v>
      </c>
      <c r="R20" s="267">
        <f>IF(LEN(VLOOKUP(B20,'Analyst Report'!$A$31:$I$288,8,TRUE))= 0,"",VLOOKUP(B20,'Analyst Report'!$A$31:$I$288,8,TRUE))</f>
        <v>15</v>
      </c>
      <c r="S20" s="267">
        <f t="shared" si="1"/>
        <v>15</v>
      </c>
      <c r="T20" s="267">
        <f t="shared" si="2"/>
        <v>15</v>
      </c>
      <c r="U20" s="164" t="s">
        <v>115</v>
      </c>
      <c r="V20" s="164" t="s">
        <v>115</v>
      </c>
      <c r="W20" s="164" t="s">
        <v>115</v>
      </c>
      <c r="X20" s="164" t="s">
        <v>115</v>
      </c>
      <c r="Y20" s="164" t="s">
        <v>115</v>
      </c>
      <c r="Z20" s="164" t="s">
        <v>115</v>
      </c>
      <c r="AA20" s="164" t="s">
        <v>115</v>
      </c>
      <c r="AB20" s="164" t="s">
        <v>115</v>
      </c>
    </row>
    <row r="21" spans="1:28" ht="105">
      <c r="A21" s="169">
        <f t="shared" si="3"/>
        <v>4</v>
      </c>
      <c r="B21" s="170" t="s">
        <v>106</v>
      </c>
      <c r="C21" s="170" t="s">
        <v>2356</v>
      </c>
      <c r="D21" s="170" t="str">
        <f>VLOOKUP(B21,'HECVAT - Full | Vendor Response'!A$4:D$320,4,TRUE)</f>
        <v>Upon request, an institution can access a demo account.</v>
      </c>
      <c r="E21" s="265" t="s">
        <v>115</v>
      </c>
      <c r="F21" s="265" t="s">
        <v>2352</v>
      </c>
      <c r="G21" s="265" t="s">
        <v>2357</v>
      </c>
      <c r="H21" s="175" t="s">
        <v>2358</v>
      </c>
      <c r="I21" s="175" t="s">
        <v>2359</v>
      </c>
      <c r="J21" s="266" t="b">
        <v>1</v>
      </c>
      <c r="K21" s="173">
        <v>1</v>
      </c>
      <c r="L21" s="266" t="s">
        <v>33</v>
      </c>
      <c r="M21" s="267" t="s">
        <v>102</v>
      </c>
      <c r="N21" s="267" t="str">
        <f>VLOOKUP(B21,'HECVAT - Full | Vendor Response'!A:E,3,FALSE)</f>
        <v>Yes</v>
      </c>
      <c r="O21" s="267" t="str">
        <f>IF(LEN(VLOOKUP(B21,'Analyst Report'!$A:$I,6,TRUE))= 0,"",VLOOKUP(B21,'Analyst Report'!$A:$I,6,TRUE))</f>
        <v/>
      </c>
      <c r="P21" s="267">
        <f t="shared" si="0"/>
        <v>1</v>
      </c>
      <c r="Q21" s="267"/>
      <c r="R21" s="267">
        <f>IF(LEN(VLOOKUP(B21,'Analyst Report'!$A$31:$I$288,8,TRUE))= 0,"",VLOOKUP(B21,'Analyst Report'!$A$31:$I$288,8,TRUE))</f>
        <v>15</v>
      </c>
      <c r="S21" s="267">
        <f t="shared" si="1"/>
        <v>15</v>
      </c>
      <c r="T21" s="267">
        <f t="shared" si="2"/>
        <v>15</v>
      </c>
      <c r="U21" s="164" t="s">
        <v>115</v>
      </c>
      <c r="V21" s="164" t="s">
        <v>115</v>
      </c>
      <c r="W21" s="164" t="s">
        <v>115</v>
      </c>
      <c r="X21" s="164" t="s">
        <v>115</v>
      </c>
      <c r="Y21" s="164" t="s">
        <v>115</v>
      </c>
      <c r="Z21" s="164" t="s">
        <v>115</v>
      </c>
      <c r="AA21" s="164" t="s">
        <v>115</v>
      </c>
      <c r="AB21" s="164" t="s">
        <v>115</v>
      </c>
    </row>
    <row r="22" spans="1:28" ht="75">
      <c r="A22" s="169">
        <f t="shared" si="3"/>
        <v>5</v>
      </c>
      <c r="B22" s="170" t="s">
        <v>108</v>
      </c>
      <c r="C22" s="170" t="s">
        <v>2360</v>
      </c>
      <c r="D22" s="170" t="str">
        <f>VLOOKUP(B22,'HECVAT - Full | Vendor Response'!A$4:D$320,4,TRUE)</f>
        <v>Upon request, an institution can access a demo account.</v>
      </c>
      <c r="E22" s="265" t="s">
        <v>2361</v>
      </c>
      <c r="F22" s="265" t="s">
        <v>2362</v>
      </c>
      <c r="G22" s="265" t="s">
        <v>2363</v>
      </c>
      <c r="H22" s="175" t="s">
        <v>2364</v>
      </c>
      <c r="I22" s="175" t="s">
        <v>2365</v>
      </c>
      <c r="J22" s="266" t="b">
        <v>1</v>
      </c>
      <c r="K22" s="173">
        <v>1</v>
      </c>
      <c r="L22" s="266" t="s">
        <v>33</v>
      </c>
      <c r="M22" s="267" t="s">
        <v>100</v>
      </c>
      <c r="N22" s="267" t="str">
        <f>VLOOKUP(B22,'HECVAT - Full | Vendor Response'!A:E,3,FALSE)</f>
        <v>No</v>
      </c>
      <c r="O22" s="267" t="str">
        <f>IF(LEN(VLOOKUP(B22,'Analyst Report'!$A:$I,6,TRUE))= 0,"",VLOOKUP(B22,'Analyst Report'!$A:$I,6,TRUE))</f>
        <v/>
      </c>
      <c r="P22" s="267">
        <f t="shared" si="0"/>
        <v>1</v>
      </c>
      <c r="Q22" s="267">
        <v>10</v>
      </c>
      <c r="R22" s="267">
        <f>IF(LEN(VLOOKUP(B22,'Analyst Report'!$A$31:$I$288,8,TRUE))= 0,"",VLOOKUP(B22,'Analyst Report'!$A$31:$I$288,8,TRUE))</f>
        <v>15</v>
      </c>
      <c r="S22" s="267">
        <f t="shared" si="1"/>
        <v>15</v>
      </c>
      <c r="T22" s="267">
        <f t="shared" si="2"/>
        <v>15</v>
      </c>
      <c r="U22" s="164" t="s">
        <v>115</v>
      </c>
      <c r="V22" s="164" t="s">
        <v>115</v>
      </c>
      <c r="W22" s="164" t="s">
        <v>115</v>
      </c>
      <c r="X22" s="164" t="s">
        <v>115</v>
      </c>
      <c r="Y22" s="164" t="s">
        <v>115</v>
      </c>
      <c r="Z22" s="164" t="s">
        <v>115</v>
      </c>
      <c r="AA22" s="164" t="s">
        <v>115</v>
      </c>
      <c r="AB22" s="164" t="s">
        <v>115</v>
      </c>
    </row>
    <row r="23" spans="1:28" ht="195">
      <c r="A23" s="169">
        <f t="shared" si="3"/>
        <v>6</v>
      </c>
      <c r="B23" s="170" t="s">
        <v>109</v>
      </c>
      <c r="C23" s="170" t="s">
        <v>2366</v>
      </c>
      <c r="D23" s="170" t="str">
        <f>VLOOKUP(B23,'HECVAT - Full | Vendor Response'!A$4:D$320,4,TRUE)</f>
        <v>Upon request, an institution can access a demo account.</v>
      </c>
      <c r="E23" s="265" t="s">
        <v>2367</v>
      </c>
      <c r="F23" s="265" t="s">
        <v>2368</v>
      </c>
      <c r="G23" s="265" t="s">
        <v>2369</v>
      </c>
      <c r="H23" s="175" t="s">
        <v>2370</v>
      </c>
      <c r="I23" s="175" t="s">
        <v>2371</v>
      </c>
      <c r="J23" s="266" t="b">
        <v>0</v>
      </c>
      <c r="K23" s="173">
        <v>1</v>
      </c>
      <c r="L23" s="266" t="s">
        <v>33</v>
      </c>
      <c r="M23" s="267" t="s">
        <v>102</v>
      </c>
      <c r="N23" s="267" t="str">
        <f>VLOOKUP(B23,'HECVAT - Full | Vendor Response'!A:E,3,FALSE)</f>
        <v>No</v>
      </c>
      <c r="O23" s="267" t="str">
        <f>IF(LEN(VLOOKUP(B23,'Analyst Report'!$A:$I,6,TRUE))= 0,"",VLOOKUP(B23,'Analyst Report'!$A:$I,6,TRUE))</f>
        <v/>
      </c>
      <c r="P23" s="267">
        <f t="shared" si="0"/>
        <v>0</v>
      </c>
      <c r="Q23" s="267">
        <v>10</v>
      </c>
      <c r="R23" s="267">
        <f>IF(LEN(VLOOKUP(B23,'Analyst Report'!$A$31:$I$288,8,TRUE))= 0,"",VLOOKUP(B23,'Analyst Report'!$A$31:$I$288,8,TRUE))</f>
        <v>15</v>
      </c>
      <c r="S23" s="267">
        <f t="shared" si="1"/>
        <v>15</v>
      </c>
      <c r="T23" s="267">
        <f t="shared" si="2"/>
        <v>0</v>
      </c>
      <c r="U23" s="164" t="s">
        <v>115</v>
      </c>
      <c r="V23" s="164" t="s">
        <v>115</v>
      </c>
      <c r="W23" s="164" t="s">
        <v>115</v>
      </c>
      <c r="X23" s="164" t="s">
        <v>115</v>
      </c>
      <c r="Y23" s="164" t="s">
        <v>115</v>
      </c>
      <c r="Z23" s="164" t="s">
        <v>115</v>
      </c>
      <c r="AA23" s="164" t="s">
        <v>115</v>
      </c>
      <c r="AB23" s="164" t="s">
        <v>115</v>
      </c>
    </row>
    <row r="24" spans="1:28" ht="135">
      <c r="A24" s="169">
        <f t="shared" si="3"/>
        <v>7</v>
      </c>
      <c r="B24" s="170" t="s">
        <v>110</v>
      </c>
      <c r="C24" s="170" t="s">
        <v>2372</v>
      </c>
      <c r="D24" s="170" t="str">
        <f>VLOOKUP(B24,'HECVAT - Full | Vendor Response'!A$4:D$320,4,TRUE)</f>
        <v>Upon request, an institution can access a demo account.</v>
      </c>
      <c r="E24" s="265" t="s">
        <v>2373</v>
      </c>
      <c r="F24" s="265" t="s">
        <v>115</v>
      </c>
      <c r="G24" s="265" t="s">
        <v>2374</v>
      </c>
      <c r="H24" s="175" t="s">
        <v>2375</v>
      </c>
      <c r="I24" s="175" t="s">
        <v>2376</v>
      </c>
      <c r="J24" s="266"/>
      <c r="K24" s="173">
        <v>1</v>
      </c>
      <c r="L24" s="266" t="s">
        <v>33</v>
      </c>
      <c r="M24" s="267" t="s">
        <v>102</v>
      </c>
      <c r="N24" s="267" t="str">
        <f>LEFT(VLOOKUP(B24,'HECVAT - Full | Vendor Response'!A:E,3,FALSE),1)</f>
        <v>4</v>
      </c>
      <c r="O24" s="267" t="str">
        <f>IF(LEN(VLOOKUP(B24,'Analyst Report'!$A:$I,6,TRUE))= 0,"",VLOOKUP(B24,'Analyst Report'!$A:$I,6,TRUE))</f>
        <v/>
      </c>
      <c r="P24" s="267">
        <f t="shared" si="0"/>
        <v>0</v>
      </c>
      <c r="Q24" s="267">
        <v>10</v>
      </c>
      <c r="R24" s="267">
        <f>IF(LEN(VLOOKUP(B24,'Analyst Report'!$A$31:$I$288,8,TRUE))= 0,"",VLOOKUP(B24,'Analyst Report'!$A$31:$I$288,8,TRUE))</f>
        <v>15</v>
      </c>
      <c r="S24" s="267">
        <f t="shared" si="1"/>
        <v>15</v>
      </c>
      <c r="T24" s="267">
        <f t="shared" si="2"/>
        <v>0</v>
      </c>
      <c r="U24" s="164" t="s">
        <v>115</v>
      </c>
      <c r="V24" s="164" t="s">
        <v>115</v>
      </c>
      <c r="W24" s="164" t="s">
        <v>115</v>
      </c>
      <c r="X24" s="164" t="s">
        <v>115</v>
      </c>
      <c r="Y24" s="164" t="s">
        <v>115</v>
      </c>
      <c r="Z24" s="164" t="s">
        <v>115</v>
      </c>
      <c r="AA24" s="164" t="s">
        <v>115</v>
      </c>
      <c r="AB24" s="164" t="s">
        <v>115</v>
      </c>
    </row>
    <row r="25" spans="1:28" ht="409.6">
      <c r="A25" s="169">
        <f t="shared" si="3"/>
        <v>8</v>
      </c>
      <c r="B25" s="176" t="s">
        <v>112</v>
      </c>
      <c r="C25" s="176" t="s">
        <v>2377</v>
      </c>
      <c r="D25" s="170" t="str">
        <f>VLOOKUP(B25,'HECVAT - Full | Vendor Response'!A$4:D$320,4,TRUE)</f>
        <v>Weave Education has a Configuration Management policy and procedure, as well as a Change Management process. These encompass all system management events and configuration strategy.</v>
      </c>
      <c r="E25" s="165" t="s">
        <v>2378</v>
      </c>
      <c r="F25" s="165" t="s">
        <v>115</v>
      </c>
      <c r="G25" s="165" t="s">
        <v>115</v>
      </c>
      <c r="H25" s="177" t="s">
        <v>2379</v>
      </c>
      <c r="I25" s="177" t="s">
        <v>2380</v>
      </c>
      <c r="J25" s="266" t="str">
        <f>IF(S25&gt;20,"TRUE","FALSE")</f>
        <v>FALSE</v>
      </c>
      <c r="K25" s="173">
        <v>1</v>
      </c>
      <c r="L25" s="266" t="s">
        <v>2381</v>
      </c>
      <c r="M25" s="267" t="s">
        <v>102</v>
      </c>
      <c r="N25" s="267" t="str">
        <f>VLOOKUP(B25,'HECVAT - Full | Vendor Response'!A:E,3,FALSE)</f>
        <v>Initially developed by faculty and administrators at Virginia Commonwealth University to address assessment within the context of accreditation, Weave is both a software application and a community of expertise. Over 300 institutions have trusted Weave as their accreditation, assessment, and planning solution. Our legacy application, WEAVEonline, was the first solution licensed outside of VCU in 2004. Centrieva, LLC, the parent company of Weave’s services, was formed as a corporate entity in 2006. In 2023, Centrieva, LLC changed to Weave Education, LLC.</v>
      </c>
      <c r="O25" s="267" t="str">
        <f>IF(LEN(VLOOKUP(B25,'Analyst Report'!$A:$I,7,FALSE))= 0,"",VLOOKUP(B25,'Analyst Report'!$A:$I,7,FALSE))</f>
        <v/>
      </c>
      <c r="P25" s="267">
        <f>IF((O25=""),(IF(ISNUMBER(FIND(M25,N25)), 1, 0)),(IF(ISNUMBER(FIND(M25,O25)), 1, 0)))</f>
        <v>0</v>
      </c>
      <c r="Q25" s="267">
        <v>15</v>
      </c>
      <c r="R25" s="267">
        <f>IF(LEN(VLOOKUP(B25,'Analyst Report'!$A$31:$I$288,9,FALSE))=0,VLOOKUP(B25,'Analyst Report'!$A$31:$I$288,8,FALSE),VLOOKUP(B25,'Analyst Report'!$A$31:$I$288,9,FALSE))</f>
        <v>15</v>
      </c>
      <c r="S25" s="267">
        <f t="shared" si="1"/>
        <v>15</v>
      </c>
      <c r="T25" s="267">
        <f>P25*S25*K25</f>
        <v>0</v>
      </c>
      <c r="U25" s="164" t="s">
        <v>115</v>
      </c>
      <c r="V25" s="164" t="s">
        <v>115</v>
      </c>
      <c r="W25" s="164" t="s">
        <v>115</v>
      </c>
      <c r="X25" s="164" t="s">
        <v>115</v>
      </c>
      <c r="Y25" s="164" t="s">
        <v>115</v>
      </c>
      <c r="Z25" s="164" t="s">
        <v>115</v>
      </c>
      <c r="AA25" s="164" t="s">
        <v>115</v>
      </c>
      <c r="AB25" s="164" t="s">
        <v>115</v>
      </c>
    </row>
    <row r="26" spans="1:28" ht="180">
      <c r="A26" s="169">
        <f t="shared" si="3"/>
        <v>9</v>
      </c>
      <c r="B26" s="178" t="s">
        <v>114</v>
      </c>
      <c r="C26" s="176" t="s">
        <v>2382</v>
      </c>
      <c r="D26" s="170" t="str">
        <f>VLOOKUP(B26,'HECVAT - Full | Vendor Response'!A$4:D$320,4,TRUE)</f>
        <v>Weave Education has a Configuration Management policy and procedure, as well as a Change Management process. These encompass all system management events and configuration strategy.</v>
      </c>
      <c r="E26" s="165" t="s">
        <v>115</v>
      </c>
      <c r="F26" s="165" t="s">
        <v>115</v>
      </c>
      <c r="G26" s="165" t="s">
        <v>2383</v>
      </c>
      <c r="H26" s="177" t="s">
        <v>2384</v>
      </c>
      <c r="I26" s="177" t="s">
        <v>2385</v>
      </c>
      <c r="J26" s="266" t="str">
        <f t="shared" ref="J26:J84" si="4">IF(S26&gt;20,"TRUE","FALSE")</f>
        <v>FALSE</v>
      </c>
      <c r="K26" s="173">
        <v>1</v>
      </c>
      <c r="L26" s="266" t="s">
        <v>2381</v>
      </c>
      <c r="M26" s="267" t="s">
        <v>100</v>
      </c>
      <c r="N26" s="267" t="str">
        <f>VLOOKUP(B26,'HECVAT - Full | Vendor Response'!A:E,3,FALSE)</f>
        <v>No</v>
      </c>
      <c r="O26" s="267" t="str">
        <f>IF(LEN(VLOOKUP(B26,'Analyst Report'!$A:$I,7,FALSE))= 0,"",VLOOKUP(B26,'Analyst Report'!$A:$I,7,FALSE))</f>
        <v/>
      </c>
      <c r="P26" s="267">
        <f t="shared" si="0"/>
        <v>1</v>
      </c>
      <c r="Q26" s="267">
        <v>10</v>
      </c>
      <c r="R26" s="267">
        <f>IF(LEN(VLOOKUP(B26,'Analyst Report'!$A$31:$I$288,9,FALSE))=0,VLOOKUP(B26,'Analyst Report'!$A$31:$I$288,8,FALSE),VLOOKUP(B26,'Analyst Report'!$A$31:$I$288,9,FALSE))</f>
        <v>10</v>
      </c>
      <c r="S26" s="267">
        <f t="shared" si="1"/>
        <v>10</v>
      </c>
      <c r="T26" s="267">
        <f t="shared" si="2"/>
        <v>10</v>
      </c>
      <c r="U26" s="164" t="s">
        <v>115</v>
      </c>
      <c r="V26" s="164" t="s">
        <v>115</v>
      </c>
      <c r="W26" s="164" t="s">
        <v>115</v>
      </c>
      <c r="X26" s="164" t="s">
        <v>115</v>
      </c>
      <c r="Y26" s="164" t="s">
        <v>115</v>
      </c>
      <c r="Z26" s="164" t="s">
        <v>115</v>
      </c>
      <c r="AA26" s="164" t="s">
        <v>115</v>
      </c>
      <c r="AB26" s="164" t="s">
        <v>115</v>
      </c>
    </row>
    <row r="27" spans="1:28" ht="270">
      <c r="A27" s="169">
        <f t="shared" si="3"/>
        <v>10</v>
      </c>
      <c r="B27" s="176" t="s">
        <v>116</v>
      </c>
      <c r="C27" s="176" t="s">
        <v>2386</v>
      </c>
      <c r="D27" s="170" t="str">
        <f>VLOOKUP(B27,'HECVAT - Full | Vendor Response'!A$4:D$320,4,TRUE)</f>
        <v>Weave Education has a Configuration Management policy and procedure, as well as a Change Management process. These encompass all system management events and configuration strategy.</v>
      </c>
      <c r="E27" s="165" t="s">
        <v>115</v>
      </c>
      <c r="F27" s="165" t="s">
        <v>2387</v>
      </c>
      <c r="G27" s="165" t="s">
        <v>2388</v>
      </c>
      <c r="H27" s="177" t="s">
        <v>2389</v>
      </c>
      <c r="I27" s="177" t="s">
        <v>2390</v>
      </c>
      <c r="J27" s="266" t="str">
        <f t="shared" si="4"/>
        <v>FALSE</v>
      </c>
      <c r="K27" s="173">
        <v>1</v>
      </c>
      <c r="L27" s="266" t="s">
        <v>2381</v>
      </c>
      <c r="M27" s="267" t="s">
        <v>102</v>
      </c>
      <c r="N27" s="267" t="str">
        <f>VLOOKUP(B27,'HECVAT - Full | Vendor Response'!A:E,3,FALSE)</f>
        <v>Yes</v>
      </c>
      <c r="O27" s="267" t="str">
        <f>IF(LEN(VLOOKUP(B27,'Analyst Report'!$A:$I,7,FALSE))= 0,"",VLOOKUP(B27,'Analyst Report'!$A:$I,7,FALSE))</f>
        <v/>
      </c>
      <c r="P27" s="267">
        <f t="shared" si="0"/>
        <v>1</v>
      </c>
      <c r="Q27" s="267">
        <v>15</v>
      </c>
      <c r="R27" s="267">
        <f>IF(LEN(VLOOKUP(B27,'Analyst Report'!$A$31:$I$288,9,FALSE))=0,VLOOKUP(B27,'Analyst Report'!$A$31:$I$288,8,FALSE),VLOOKUP(B27,'Analyst Report'!$A$31:$I$288,9,FALSE))</f>
        <v>15</v>
      </c>
      <c r="S27" s="267">
        <f t="shared" si="1"/>
        <v>15</v>
      </c>
      <c r="T27" s="267">
        <f t="shared" si="2"/>
        <v>15</v>
      </c>
      <c r="U27" s="164" t="s">
        <v>115</v>
      </c>
      <c r="V27" s="164" t="s">
        <v>115</v>
      </c>
      <c r="W27" s="164" t="s">
        <v>115</v>
      </c>
      <c r="X27" s="164" t="s">
        <v>115</v>
      </c>
      <c r="Y27" s="164" t="s">
        <v>115</v>
      </c>
      <c r="Z27" s="164" t="s">
        <v>115</v>
      </c>
      <c r="AA27" s="164" t="s">
        <v>115</v>
      </c>
      <c r="AB27" s="164" t="s">
        <v>115</v>
      </c>
    </row>
    <row r="28" spans="1:28" ht="210">
      <c r="A28" s="169">
        <f t="shared" si="3"/>
        <v>11</v>
      </c>
      <c r="B28" s="176" t="s">
        <v>118</v>
      </c>
      <c r="C28" s="176" t="s">
        <v>2391</v>
      </c>
      <c r="D28" s="170" t="str">
        <f>VLOOKUP(B28,'HECVAT - Full | Vendor Response'!A$4:D$320,4,TRUE)</f>
        <v>Weave Education has a Configuration Management policy and procedure, as well as a Change Management process. These encompass all system management events and configuration strategy.</v>
      </c>
      <c r="E28" s="165" t="s">
        <v>115</v>
      </c>
      <c r="F28" s="165" t="s">
        <v>2392</v>
      </c>
      <c r="G28" s="165" t="s">
        <v>2393</v>
      </c>
      <c r="H28" s="177" t="s">
        <v>2394</v>
      </c>
      <c r="I28" s="177" t="s">
        <v>2395</v>
      </c>
      <c r="J28" s="266" t="str">
        <f t="shared" si="4"/>
        <v>TRUE</v>
      </c>
      <c r="K28" s="173">
        <v>1</v>
      </c>
      <c r="L28" s="266" t="s">
        <v>2381</v>
      </c>
      <c r="M28" s="267" t="s">
        <v>102</v>
      </c>
      <c r="N28" s="267" t="str">
        <f>VLOOKUP(B28,'HECVAT - Full | Vendor Response'!A:E,3,FALSE)</f>
        <v>Yes</v>
      </c>
      <c r="O28" s="267" t="str">
        <f>IF(LEN(VLOOKUP(B28,'Analyst Report'!$A:$I,7,FALSE))= 0,"",VLOOKUP(B28,'Analyst Report'!$A:$I,7,FALSE))</f>
        <v/>
      </c>
      <c r="P28" s="267">
        <f t="shared" si="0"/>
        <v>1</v>
      </c>
      <c r="Q28" s="267">
        <v>25</v>
      </c>
      <c r="R28" s="267">
        <f>IF(LEN(VLOOKUP(B28,'Analyst Report'!$A$31:$I$288,9,FALSE))=0,VLOOKUP(B28,'Analyst Report'!$A$31:$I$288,8,FALSE),VLOOKUP(B28,'Analyst Report'!$A$31:$I$288,9,FALSE))</f>
        <v>25</v>
      </c>
      <c r="S28" s="267">
        <f t="shared" si="1"/>
        <v>25</v>
      </c>
      <c r="T28" s="267">
        <f t="shared" si="2"/>
        <v>25</v>
      </c>
      <c r="U28" s="164" t="s">
        <v>115</v>
      </c>
      <c r="V28" s="164" t="s">
        <v>115</v>
      </c>
      <c r="W28" s="164" t="s">
        <v>115</v>
      </c>
      <c r="X28" s="164" t="s">
        <v>115</v>
      </c>
      <c r="Y28" s="164" t="s">
        <v>115</v>
      </c>
      <c r="Z28" s="164" t="s">
        <v>115</v>
      </c>
      <c r="AA28" s="164" t="s">
        <v>115</v>
      </c>
      <c r="AB28" s="164" t="s">
        <v>115</v>
      </c>
    </row>
    <row r="29" spans="1:28" ht="409.6">
      <c r="A29" s="169">
        <f t="shared" si="3"/>
        <v>12</v>
      </c>
      <c r="B29" s="176" t="s">
        <v>120</v>
      </c>
      <c r="C29" s="176" t="s">
        <v>2396</v>
      </c>
      <c r="D29" s="170" t="str">
        <f>VLOOKUP(B29,'HECVAT - Full | Vendor Response'!A$4:D$320,4,TRUE)</f>
        <v>Weave Education has a Configuration Management policy and procedure, as well as a Change Management process. These encompass all system management events and configuration strategy.</v>
      </c>
      <c r="E29" s="165" t="s">
        <v>2397</v>
      </c>
      <c r="F29" s="165" t="s">
        <v>115</v>
      </c>
      <c r="G29" s="165" t="s">
        <v>115</v>
      </c>
      <c r="H29" s="177" t="s">
        <v>2398</v>
      </c>
      <c r="I29" s="177" t="s">
        <v>2399</v>
      </c>
      <c r="J29" s="266" t="str">
        <f t="shared" si="4"/>
        <v>FALSE</v>
      </c>
      <c r="K29" s="173">
        <v>1</v>
      </c>
      <c r="L29" s="266" t="s">
        <v>2381</v>
      </c>
      <c r="M29" s="267" t="s">
        <v>102</v>
      </c>
      <c r="N29" s="267" t="str">
        <f>VLOOKUP(B29,'HECVAT - Full | Vendor Response'!A:E,3,FALSE)</f>
        <v>Security training is reviewed by security team quarterly and training is updated as needed. Employees are expected to participate in training and are tested annually to confirm compliance and understanding of policies. Security training is reviewed by security team quarterly and training is updated as needed. Employees are expected to participate in training and are tested annually to confirm compliance and understanding of policies. New employees onboarding process including security training, quiz, signed Code of Conduct and Rules of Behavior, background checks, understanding and accpetance of Weave's Security Policy</v>
      </c>
      <c r="O29" s="267" t="str">
        <f>IF(LEN(VLOOKUP(B29,'Analyst Report'!$A:$I,7,FALSE))= 0,"",VLOOKUP(B29,'Analyst Report'!$A:$I,7,FALSE))</f>
        <v/>
      </c>
      <c r="P29" s="267">
        <f t="shared" si="0"/>
        <v>0</v>
      </c>
      <c r="Q29" s="267">
        <v>15</v>
      </c>
      <c r="R29" s="267">
        <f>IF(LEN(VLOOKUP(B29,'Analyst Report'!$A$31:$I$288,9,FALSE))=0,VLOOKUP(B29,'Analyst Report'!$A$31:$I$288,8,FALSE),VLOOKUP(B29,'Analyst Report'!$A$31:$I$288,9,FALSE))</f>
        <v>15</v>
      </c>
      <c r="S29" s="267">
        <f t="shared" si="1"/>
        <v>15</v>
      </c>
      <c r="T29" s="267">
        <f t="shared" si="2"/>
        <v>0</v>
      </c>
      <c r="U29" s="164" t="s">
        <v>115</v>
      </c>
      <c r="V29" s="164" t="s">
        <v>115</v>
      </c>
      <c r="W29" s="164" t="s">
        <v>115</v>
      </c>
      <c r="X29" s="164" t="s">
        <v>115</v>
      </c>
      <c r="Y29" s="164" t="s">
        <v>115</v>
      </c>
      <c r="Z29" s="164" t="s">
        <v>115</v>
      </c>
      <c r="AA29" s="164" t="s">
        <v>115</v>
      </c>
      <c r="AB29" s="164" t="s">
        <v>115</v>
      </c>
    </row>
    <row r="30" spans="1:28" ht="105">
      <c r="A30" s="169">
        <f t="shared" si="3"/>
        <v>13</v>
      </c>
      <c r="B30" s="176" t="s">
        <v>122</v>
      </c>
      <c r="C30" s="176" t="s">
        <v>2400</v>
      </c>
      <c r="D30" s="170" t="str">
        <f>VLOOKUP(B30,'HECVAT - Full | Vendor Response'!A$4:D$320,4,TRUE)</f>
        <v>Weave uses AWS Key Management System</v>
      </c>
      <c r="E30" s="187" t="s">
        <v>115</v>
      </c>
      <c r="F30" s="165" t="s">
        <v>2401</v>
      </c>
      <c r="G30" s="165" t="s">
        <v>2402</v>
      </c>
      <c r="H30" s="177" t="s">
        <v>2403</v>
      </c>
      <c r="I30" s="177" t="s">
        <v>2404</v>
      </c>
      <c r="J30" s="266" t="str">
        <f t="shared" si="4"/>
        <v>FALSE</v>
      </c>
      <c r="K30" s="173">
        <v>1</v>
      </c>
      <c r="L30" s="266" t="s">
        <v>35</v>
      </c>
      <c r="M30" s="267" t="s">
        <v>102</v>
      </c>
      <c r="N30" s="267" t="str">
        <f>VLOOKUP(B30,'HECVAT - Full | Vendor Response'!A:E,3,FALSE)</f>
        <v>No</v>
      </c>
      <c r="O30" s="267" t="str">
        <f>IF(LEN(VLOOKUP(B30,'Analyst Report'!$A:$I,7,FALSE))= 0,"",VLOOKUP(B30,'Analyst Report'!$A:$I,7,FALSE))</f>
        <v/>
      </c>
      <c r="P30" s="267">
        <f t="shared" si="0"/>
        <v>0</v>
      </c>
      <c r="Q30" s="267">
        <v>20</v>
      </c>
      <c r="R30" s="267">
        <f>IF(LEN(VLOOKUP(B30,'Analyst Report'!$A$31:$I$288,9,FALSE))=0,VLOOKUP(B30,'Analyst Report'!$A$31:$I$288,8,FALSE),VLOOKUP(B30,'Analyst Report'!$A$31:$I$288,9,FALSE))</f>
        <v>20</v>
      </c>
      <c r="S30" s="267">
        <f t="shared" si="1"/>
        <v>20</v>
      </c>
      <c r="T30" s="267">
        <f t="shared" si="2"/>
        <v>0</v>
      </c>
      <c r="U30" s="164" t="s">
        <v>115</v>
      </c>
      <c r="V30" s="164" t="s">
        <v>115</v>
      </c>
      <c r="W30" s="164" t="s">
        <v>115</v>
      </c>
      <c r="X30" s="164" t="s">
        <v>115</v>
      </c>
      <c r="Y30" s="164" t="s">
        <v>115</v>
      </c>
      <c r="Z30" s="164" t="s">
        <v>115</v>
      </c>
      <c r="AA30" s="164" t="s">
        <v>115</v>
      </c>
      <c r="AB30" s="164" t="s">
        <v>115</v>
      </c>
    </row>
    <row r="31" spans="1:28" ht="105">
      <c r="A31" s="169">
        <f t="shared" si="3"/>
        <v>14</v>
      </c>
      <c r="B31" s="176" t="s">
        <v>124</v>
      </c>
      <c r="C31" s="176" t="s">
        <v>2405</v>
      </c>
      <c r="D31" s="170" t="str">
        <f>VLOOKUP(B31,'HECVAT - Full | Vendor Response'!A$4:D$320,4,TRUE)</f>
        <v>Weave uses AWS Key Management System</v>
      </c>
      <c r="E31" s="187" t="s">
        <v>115</v>
      </c>
      <c r="F31" s="165" t="s">
        <v>2406</v>
      </c>
      <c r="G31" s="165" t="s">
        <v>2407</v>
      </c>
      <c r="H31" s="177" t="s">
        <v>2408</v>
      </c>
      <c r="I31" s="177" t="s">
        <v>2409</v>
      </c>
      <c r="J31" s="266" t="str">
        <f t="shared" si="4"/>
        <v>FALSE</v>
      </c>
      <c r="K31" s="173">
        <v>1</v>
      </c>
      <c r="L31" s="266" t="s">
        <v>35</v>
      </c>
      <c r="M31" s="267" t="s">
        <v>102</v>
      </c>
      <c r="N31" s="267" t="str">
        <f>VLOOKUP(B31,'HECVAT - Full | Vendor Response'!A:E,3,FALSE)</f>
        <v>No</v>
      </c>
      <c r="O31" s="267" t="str">
        <f>IF(LEN(VLOOKUP(B31,'Analyst Report'!$A:$I,7,FALSE))= 0,"",VLOOKUP(B31,'Analyst Report'!$A:$I,7,FALSE))</f>
        <v/>
      </c>
      <c r="P31" s="267">
        <f t="shared" si="0"/>
        <v>0</v>
      </c>
      <c r="Q31" s="267">
        <v>20</v>
      </c>
      <c r="R31" s="267">
        <f>IF(LEN(VLOOKUP(B31,'Analyst Report'!$A$31:$I$288,9,FALSE))=0,VLOOKUP(B31,'Analyst Report'!$A$31:$I$288,8,FALSE),VLOOKUP(B31,'Analyst Report'!$A$31:$I$288,9,FALSE))</f>
        <v>20</v>
      </c>
      <c r="S31" s="267">
        <f t="shared" si="1"/>
        <v>20</v>
      </c>
      <c r="T31" s="267">
        <f t="shared" si="2"/>
        <v>0</v>
      </c>
      <c r="U31" s="164" t="s">
        <v>115</v>
      </c>
      <c r="V31" s="164" t="s">
        <v>115</v>
      </c>
      <c r="W31" s="164" t="s">
        <v>115</v>
      </c>
      <c r="X31" s="164" t="s">
        <v>115</v>
      </c>
      <c r="Y31" s="164" t="s">
        <v>115</v>
      </c>
      <c r="Z31" s="164" t="s">
        <v>115</v>
      </c>
      <c r="AA31" s="164" t="s">
        <v>115</v>
      </c>
      <c r="AB31" s="164" t="s">
        <v>115</v>
      </c>
    </row>
    <row r="32" spans="1:28" ht="90">
      <c r="A32" s="169">
        <f t="shared" si="3"/>
        <v>15</v>
      </c>
      <c r="B32" s="176" t="s">
        <v>126</v>
      </c>
      <c r="C32" s="176" t="s">
        <v>2410</v>
      </c>
      <c r="D32" s="170" t="str">
        <f>VLOOKUP(B32,'HECVAT - Full | Vendor Response'!A$4:D$320,4,TRUE)</f>
        <v>Weave uses AWS Key Management System</v>
      </c>
      <c r="E32" s="187" t="s">
        <v>115</v>
      </c>
      <c r="F32" s="165" t="s">
        <v>2411</v>
      </c>
      <c r="G32" s="165" t="s">
        <v>2412</v>
      </c>
      <c r="H32" s="177" t="s">
        <v>2413</v>
      </c>
      <c r="I32" s="177" t="s">
        <v>2414</v>
      </c>
      <c r="J32" s="266" t="str">
        <f t="shared" si="4"/>
        <v>FALSE</v>
      </c>
      <c r="K32" s="173">
        <v>1</v>
      </c>
      <c r="L32" s="266" t="s">
        <v>35</v>
      </c>
      <c r="M32" s="267" t="s">
        <v>102</v>
      </c>
      <c r="N32" s="267" t="str">
        <f>VLOOKUP(B32,'HECVAT - Full | Vendor Response'!A:E,3,FALSE)</f>
        <v>No</v>
      </c>
      <c r="O32" s="267" t="str">
        <f>IF(LEN(VLOOKUP(B32,'Analyst Report'!$A:$I,7,FALSE))= 0,"",VLOOKUP(B32,'Analyst Report'!$A:$I,7,FALSE))</f>
        <v/>
      </c>
      <c r="P32" s="267">
        <f t="shared" si="0"/>
        <v>0</v>
      </c>
      <c r="Q32" s="267">
        <v>20</v>
      </c>
      <c r="R32" s="267">
        <f>IF(LEN(VLOOKUP(B32,'Analyst Report'!$A$31:$I$288,9,FALSE))=0,VLOOKUP(B32,'Analyst Report'!$A$31:$I$288,8,FALSE),VLOOKUP(B32,'Analyst Report'!$A$31:$I$288,9,FALSE))</f>
        <v>20</v>
      </c>
      <c r="S32" s="267">
        <f t="shared" si="1"/>
        <v>20</v>
      </c>
      <c r="T32" s="267">
        <f t="shared" si="2"/>
        <v>0</v>
      </c>
      <c r="U32" s="164" t="s">
        <v>115</v>
      </c>
      <c r="V32" s="164" t="s">
        <v>115</v>
      </c>
      <c r="W32" s="164" t="s">
        <v>115</v>
      </c>
      <c r="X32" s="164" t="s">
        <v>115</v>
      </c>
      <c r="Y32" s="164" t="s">
        <v>115</v>
      </c>
      <c r="Z32" s="164" t="s">
        <v>115</v>
      </c>
      <c r="AA32" s="164" t="s">
        <v>115</v>
      </c>
      <c r="AB32" s="164" t="s">
        <v>115</v>
      </c>
    </row>
    <row r="33" spans="1:28" ht="255">
      <c r="A33" s="169">
        <f t="shared" si="3"/>
        <v>16</v>
      </c>
      <c r="B33" s="176" t="s">
        <v>128</v>
      </c>
      <c r="C33" s="176" t="s">
        <v>2415</v>
      </c>
      <c r="D33" s="170" t="str">
        <f>VLOOKUP(B33,'HECVAT - Full | Vendor Response'!A$4:D$320,4,TRUE)</f>
        <v>Weave uses AWS Key Management System</v>
      </c>
      <c r="E33" s="187" t="s">
        <v>115</v>
      </c>
      <c r="F33" s="165" t="s">
        <v>2416</v>
      </c>
      <c r="G33" s="165" t="s">
        <v>2417</v>
      </c>
      <c r="H33" s="177" t="s">
        <v>2418</v>
      </c>
      <c r="I33" s="177" t="s">
        <v>2419</v>
      </c>
      <c r="J33" s="266" t="str">
        <f t="shared" si="4"/>
        <v>FALSE</v>
      </c>
      <c r="K33" s="173">
        <v>1</v>
      </c>
      <c r="L33" s="266" t="s">
        <v>35</v>
      </c>
      <c r="M33" s="267" t="s">
        <v>102</v>
      </c>
      <c r="N33" s="267" t="str">
        <f>VLOOKUP(B33,'HECVAT - Full | Vendor Response'!A:E,3,FALSE)</f>
        <v>Yes</v>
      </c>
      <c r="O33" s="267" t="str">
        <f>IF(LEN(VLOOKUP(B33,'Analyst Report'!$A:$I,7,FALSE))= 0,"",VLOOKUP(B33,'Analyst Report'!$A:$I,7,FALSE))</f>
        <v/>
      </c>
      <c r="P33" s="267">
        <f t="shared" si="0"/>
        <v>1</v>
      </c>
      <c r="Q33" s="267">
        <v>20</v>
      </c>
      <c r="R33" s="267">
        <f>IF(LEN(VLOOKUP(B33,'Analyst Report'!$A$31:$I$288,9,FALSE))=0,VLOOKUP(B33,'Analyst Report'!$A$31:$I$288,8,FALSE),VLOOKUP(B33,'Analyst Report'!$A$31:$I$288,9,FALSE))</f>
        <v>20</v>
      </c>
      <c r="S33" s="267">
        <f t="shared" si="1"/>
        <v>20</v>
      </c>
      <c r="T33" s="267">
        <f t="shared" si="2"/>
        <v>20</v>
      </c>
      <c r="U33" s="164" t="s">
        <v>115</v>
      </c>
      <c r="V33" s="164" t="s">
        <v>115</v>
      </c>
      <c r="W33" s="164" t="s">
        <v>115</v>
      </c>
      <c r="X33" s="164" t="s">
        <v>115</v>
      </c>
      <c r="Y33" s="164" t="s">
        <v>115</v>
      </c>
      <c r="Z33" s="164" t="s">
        <v>115</v>
      </c>
      <c r="AA33" s="164" t="s">
        <v>115</v>
      </c>
      <c r="AB33" s="164" t="s">
        <v>115</v>
      </c>
    </row>
    <row r="34" spans="1:28" ht="75">
      <c r="A34" s="169">
        <f t="shared" si="3"/>
        <v>17</v>
      </c>
      <c r="B34" s="176" t="s">
        <v>130</v>
      </c>
      <c r="C34" s="176" t="s">
        <v>2420</v>
      </c>
      <c r="D34" s="170" t="str">
        <f>VLOOKUP(B34,'HECVAT - Full | Vendor Response'!A$4:D$320,4,TRUE)</f>
        <v>Weave uses AWS Key Management System</v>
      </c>
      <c r="E34" s="187"/>
      <c r="F34" s="165" t="s">
        <v>2421</v>
      </c>
      <c r="G34" s="165" t="s">
        <v>2422</v>
      </c>
      <c r="H34" s="177" t="s">
        <v>2423</v>
      </c>
      <c r="I34" s="177" t="s">
        <v>2424</v>
      </c>
      <c r="J34" s="266" t="str">
        <f t="shared" si="4"/>
        <v>FALSE</v>
      </c>
      <c r="K34" s="173">
        <v>1</v>
      </c>
      <c r="L34" s="266" t="s">
        <v>35</v>
      </c>
      <c r="M34" s="267" t="s">
        <v>102</v>
      </c>
      <c r="N34" s="267" t="str">
        <f>VLOOKUP(B34,'HECVAT - Full | Vendor Response'!A:E,3,FALSE)</f>
        <v>No</v>
      </c>
      <c r="O34" s="267" t="str">
        <f>IF(LEN(VLOOKUP(B34,'Analyst Report'!$A:$I,7,FALSE))= 0,"",VLOOKUP(B34,'Analyst Report'!$A:$I,7,FALSE))</f>
        <v/>
      </c>
      <c r="P34" s="267">
        <f t="shared" si="0"/>
        <v>0</v>
      </c>
      <c r="Q34" s="267">
        <v>20</v>
      </c>
      <c r="R34" s="267">
        <f>IF(LEN(VLOOKUP(B34,'Analyst Report'!$A$31:$I$288,9,FALSE))=0,VLOOKUP(B34,'Analyst Report'!$A$31:$I$288,8,FALSE),VLOOKUP(B34,'Analyst Report'!$A$31:$I$288,9,FALSE))</f>
        <v>20</v>
      </c>
      <c r="S34" s="267">
        <f t="shared" si="1"/>
        <v>20</v>
      </c>
      <c r="T34" s="267">
        <f t="shared" si="2"/>
        <v>0</v>
      </c>
      <c r="U34" s="164" t="s">
        <v>115</v>
      </c>
      <c r="V34" s="164" t="s">
        <v>115</v>
      </c>
      <c r="W34" s="164" t="s">
        <v>115</v>
      </c>
      <c r="X34" s="164" t="s">
        <v>115</v>
      </c>
      <c r="Y34" s="164" t="s">
        <v>115</v>
      </c>
      <c r="Z34" s="164" t="s">
        <v>115</v>
      </c>
      <c r="AA34" s="164" t="s">
        <v>115</v>
      </c>
      <c r="AB34" s="164" t="s">
        <v>115</v>
      </c>
    </row>
    <row r="35" spans="1:28" ht="165">
      <c r="A35" s="169">
        <f t="shared" si="3"/>
        <v>18</v>
      </c>
      <c r="B35" s="176" t="s">
        <v>132</v>
      </c>
      <c r="C35" s="176" t="s">
        <v>2425</v>
      </c>
      <c r="D35" s="170" t="str">
        <f>VLOOKUP(B35,'HECVAT - Full | Vendor Response'!A$4:D$320,4,TRUE)</f>
        <v>Weave uses AWS Key Management System</v>
      </c>
      <c r="E35" s="165" t="s">
        <v>115</v>
      </c>
      <c r="F35" s="165" t="s">
        <v>2426</v>
      </c>
      <c r="G35" s="165" t="s">
        <v>2427</v>
      </c>
      <c r="H35" s="177" t="s">
        <v>2428</v>
      </c>
      <c r="I35" s="177" t="s">
        <v>2429</v>
      </c>
      <c r="J35" s="266" t="str">
        <f t="shared" si="4"/>
        <v>FALSE</v>
      </c>
      <c r="K35" s="173">
        <v>1</v>
      </c>
      <c r="L35" s="266" t="s">
        <v>35</v>
      </c>
      <c r="M35" s="267" t="s">
        <v>102</v>
      </c>
      <c r="N35" s="267" t="str">
        <f>VLOOKUP(B35,'HECVAT - Full | Vendor Response'!A:E,3,FALSE)</f>
        <v>Yes</v>
      </c>
      <c r="O35" s="267" t="str">
        <f>IF(LEN(VLOOKUP(B35,'Analyst Report'!$A:$I,7,FALSE))= 0,"",VLOOKUP(B35,'Analyst Report'!$A:$I,7,FALSE))</f>
        <v/>
      </c>
      <c r="P35" s="267">
        <f t="shared" si="0"/>
        <v>1</v>
      </c>
      <c r="Q35" s="267">
        <v>20</v>
      </c>
      <c r="R35" s="267">
        <f>IF(LEN(VLOOKUP(B35,'Analyst Report'!$A$31:$I$288,9,FALSE))=0,VLOOKUP(B35,'Analyst Report'!$A$31:$I$288,8,FALSE),VLOOKUP(B35,'Analyst Report'!$A$31:$I$288,9,FALSE))</f>
        <v>20</v>
      </c>
      <c r="S35" s="267">
        <f t="shared" si="1"/>
        <v>20</v>
      </c>
      <c r="T35" s="267">
        <f t="shared" si="2"/>
        <v>20</v>
      </c>
      <c r="U35" s="164" t="s">
        <v>115</v>
      </c>
      <c r="V35" s="164" t="s">
        <v>115</v>
      </c>
      <c r="W35" s="164" t="s">
        <v>115</v>
      </c>
      <c r="X35" s="164" t="s">
        <v>115</v>
      </c>
      <c r="Y35" s="164" t="s">
        <v>115</v>
      </c>
      <c r="Z35" s="164" t="s">
        <v>115</v>
      </c>
      <c r="AA35" s="164" t="s">
        <v>115</v>
      </c>
      <c r="AB35" s="164" t="s">
        <v>115</v>
      </c>
    </row>
    <row r="36" spans="1:28" ht="165">
      <c r="A36" s="169">
        <f t="shared" si="3"/>
        <v>19</v>
      </c>
      <c r="B36" s="176" t="s">
        <v>134</v>
      </c>
      <c r="C36" s="176" t="s">
        <v>2430</v>
      </c>
      <c r="D36" s="170" t="str">
        <f>VLOOKUP(B36,'HECVAT - Full | Vendor Response'!A$4:D$320,4,TRUE)</f>
        <v>Weave uses AWS Key Management System</v>
      </c>
      <c r="E36" s="165" t="s">
        <v>115</v>
      </c>
      <c r="F36" s="165" t="s">
        <v>2431</v>
      </c>
      <c r="G36" s="165" t="s">
        <v>2432</v>
      </c>
      <c r="H36" s="177" t="s">
        <v>2428</v>
      </c>
      <c r="I36" s="177" t="s">
        <v>2429</v>
      </c>
      <c r="J36" s="266" t="str">
        <f t="shared" si="4"/>
        <v>FALSE</v>
      </c>
      <c r="K36" s="173">
        <v>1</v>
      </c>
      <c r="L36" s="266" t="s">
        <v>35</v>
      </c>
      <c r="M36" s="267" t="s">
        <v>102</v>
      </c>
      <c r="N36" s="267" t="str">
        <f>VLOOKUP(B36,'HECVAT - Full | Vendor Response'!A:E,3,FALSE)</f>
        <v>Yes</v>
      </c>
      <c r="O36" s="267" t="str">
        <f>IF(LEN(VLOOKUP(B36,'Analyst Report'!$A:$I,7,FALSE))= 0,"",VLOOKUP(B36,'Analyst Report'!$A:$I,7,FALSE))</f>
        <v/>
      </c>
      <c r="P36" s="267">
        <f t="shared" si="0"/>
        <v>1</v>
      </c>
      <c r="Q36" s="267">
        <v>20</v>
      </c>
      <c r="R36" s="267">
        <f>IF(LEN(VLOOKUP(B36,'Analyst Report'!$A$31:$I$288,9,FALSE))=0,VLOOKUP(B36,'Analyst Report'!$A$31:$I$288,8,FALSE),VLOOKUP(B36,'Analyst Report'!$A$31:$I$288,9,FALSE))</f>
        <v>20</v>
      </c>
      <c r="S36" s="267">
        <f t="shared" si="1"/>
        <v>20</v>
      </c>
      <c r="T36" s="267">
        <f t="shared" si="2"/>
        <v>20</v>
      </c>
      <c r="U36" s="164" t="s">
        <v>115</v>
      </c>
      <c r="V36" s="164" t="s">
        <v>115</v>
      </c>
      <c r="W36" s="164" t="s">
        <v>115</v>
      </c>
      <c r="X36" s="164" t="s">
        <v>115</v>
      </c>
      <c r="Y36" s="164" t="s">
        <v>115</v>
      </c>
      <c r="Z36" s="164" t="s">
        <v>115</v>
      </c>
      <c r="AA36" s="164" t="s">
        <v>115</v>
      </c>
      <c r="AB36" s="164" t="s">
        <v>115</v>
      </c>
    </row>
    <row r="37" spans="1:28" ht="210">
      <c r="A37" s="169">
        <f t="shared" si="3"/>
        <v>20</v>
      </c>
      <c r="B37" s="176" t="s">
        <v>135</v>
      </c>
      <c r="C37" s="176" t="s">
        <v>2433</v>
      </c>
      <c r="D37" s="170" t="str">
        <f>VLOOKUP(B37,'HECVAT - Full | Vendor Response'!A$4:D$320,4,TRUE)</f>
        <v>Weave uses AWS Key Management System</v>
      </c>
      <c r="E37" s="165" t="s">
        <v>115</v>
      </c>
      <c r="F37" s="165" t="s">
        <v>2352</v>
      </c>
      <c r="G37" s="165" t="s">
        <v>2434</v>
      </c>
      <c r="H37" s="177" t="s">
        <v>2435</v>
      </c>
      <c r="I37" s="177" t="s">
        <v>2436</v>
      </c>
      <c r="J37" s="266" t="str">
        <f t="shared" si="4"/>
        <v>FALSE</v>
      </c>
      <c r="K37" s="173">
        <v>1</v>
      </c>
      <c r="L37" s="266" t="s">
        <v>35</v>
      </c>
      <c r="M37" s="267" t="s">
        <v>102</v>
      </c>
      <c r="N37" s="267" t="str">
        <f>VLOOKUP(B37,'HECVAT - Full | Vendor Response'!A:E,3,FALSE)</f>
        <v>Yes</v>
      </c>
      <c r="O37" s="267" t="str">
        <f>IF(LEN(VLOOKUP(B37,'Analyst Report'!$A:$I,7,FALSE))= 0,"",VLOOKUP(B37,'Analyst Report'!$A:$I,7,FALSE))</f>
        <v/>
      </c>
      <c r="P37" s="267">
        <f t="shared" si="0"/>
        <v>1</v>
      </c>
      <c r="Q37" s="267">
        <v>20</v>
      </c>
      <c r="R37" s="267">
        <f>IF(LEN(VLOOKUP(B37,'Analyst Report'!$A$31:$I$288,9,FALSE))=0,VLOOKUP(B37,'Analyst Report'!$A$31:$I$288,8,FALSE),VLOOKUP(B37,'Analyst Report'!$A$31:$I$288,9,FALSE))</f>
        <v>20</v>
      </c>
      <c r="S37" s="267">
        <f t="shared" si="1"/>
        <v>20</v>
      </c>
      <c r="T37" s="267">
        <f t="shared" si="2"/>
        <v>20</v>
      </c>
      <c r="U37" s="164" t="s">
        <v>115</v>
      </c>
      <c r="V37" s="164" t="s">
        <v>115</v>
      </c>
      <c r="W37" s="164" t="s">
        <v>115</v>
      </c>
      <c r="X37" s="164" t="s">
        <v>115</v>
      </c>
      <c r="Y37" s="164" t="s">
        <v>115</v>
      </c>
      <c r="Z37" s="164" t="s">
        <v>115</v>
      </c>
      <c r="AA37" s="164" t="s">
        <v>115</v>
      </c>
      <c r="AB37" s="164" t="s">
        <v>115</v>
      </c>
    </row>
    <row r="38" spans="1:28" ht="150">
      <c r="A38" s="169">
        <f t="shared" si="3"/>
        <v>21</v>
      </c>
      <c r="B38" s="176" t="s">
        <v>137</v>
      </c>
      <c r="C38" s="176" t="s">
        <v>2437</v>
      </c>
      <c r="D38" s="170" t="str">
        <f>VLOOKUP(B38,'HECVAT - Full | Vendor Response'!A$4:D$320,4,TRUE)</f>
        <v>Weave uses AWS Key Management System</v>
      </c>
      <c r="E38" s="165" t="s">
        <v>115</v>
      </c>
      <c r="F38" s="165" t="s">
        <v>2352</v>
      </c>
      <c r="G38" s="165" t="s">
        <v>2438</v>
      </c>
      <c r="H38" s="177" t="s">
        <v>2439</v>
      </c>
      <c r="I38" s="177" t="s">
        <v>2440</v>
      </c>
      <c r="J38" s="266" t="str">
        <f t="shared" si="4"/>
        <v>FALSE</v>
      </c>
      <c r="K38" s="173">
        <v>1</v>
      </c>
      <c r="L38" s="266" t="s">
        <v>35</v>
      </c>
      <c r="M38" s="267" t="s">
        <v>102</v>
      </c>
      <c r="N38" s="267" t="str">
        <f>VLOOKUP(B38,'HECVAT - Full | Vendor Response'!A:E,3,FALSE)</f>
        <v>Yes</v>
      </c>
      <c r="O38" s="267" t="str">
        <f>IF(LEN(VLOOKUP(B38,'Analyst Report'!$A:$I,7,FALSE))= 0,"",VLOOKUP(B38,'Analyst Report'!$A:$I,7,FALSE))</f>
        <v/>
      </c>
      <c r="P38" s="267">
        <f t="shared" si="0"/>
        <v>1</v>
      </c>
      <c r="Q38" s="267">
        <v>20</v>
      </c>
      <c r="R38" s="267">
        <f>IF(LEN(VLOOKUP(B38,'Analyst Report'!$A$31:$I$288,9,FALSE))=0,VLOOKUP(B38,'Analyst Report'!$A$31:$I$288,8,FALSE),VLOOKUP(B38,'Analyst Report'!$A$31:$I$288,9,FALSE))</f>
        <v>20</v>
      </c>
      <c r="S38" s="267">
        <f t="shared" si="1"/>
        <v>20</v>
      </c>
      <c r="T38" s="267">
        <f t="shared" si="2"/>
        <v>20</v>
      </c>
      <c r="U38" s="164" t="s">
        <v>115</v>
      </c>
      <c r="V38" s="164" t="s">
        <v>115</v>
      </c>
      <c r="W38" s="164" t="s">
        <v>115</v>
      </c>
      <c r="X38" s="164" t="s">
        <v>115</v>
      </c>
      <c r="Y38" s="164" t="s">
        <v>115</v>
      </c>
      <c r="Z38" s="164" t="s">
        <v>115</v>
      </c>
      <c r="AA38" s="164" t="s">
        <v>115</v>
      </c>
      <c r="AB38" s="164" t="s">
        <v>115</v>
      </c>
    </row>
    <row r="39" spans="1:28" ht="270">
      <c r="A39" s="169">
        <f t="shared" si="3"/>
        <v>22</v>
      </c>
      <c r="B39" s="176" t="s">
        <v>139</v>
      </c>
      <c r="C39" s="176" t="s">
        <v>2441</v>
      </c>
      <c r="D39" s="170" t="str">
        <f>VLOOKUP(B39,'HECVAT - Full | Vendor Response'!A$4:D$320,4,TRUE)</f>
        <v>Weave uses AWS Key Management System</v>
      </c>
      <c r="E39" s="165" t="s">
        <v>2442</v>
      </c>
      <c r="F39" s="165" t="s">
        <v>2443</v>
      </c>
      <c r="G39" s="165" t="s">
        <v>2444</v>
      </c>
      <c r="H39" s="177" t="s">
        <v>2445</v>
      </c>
      <c r="I39" s="177" t="s">
        <v>2446</v>
      </c>
      <c r="J39" s="266" t="str">
        <f t="shared" si="4"/>
        <v>FALSE</v>
      </c>
      <c r="K39" s="173">
        <v>1</v>
      </c>
      <c r="L39" s="266" t="s">
        <v>35</v>
      </c>
      <c r="M39" s="267" t="s">
        <v>102</v>
      </c>
      <c r="N39" s="267" t="str">
        <f>VLOOKUP(B39,'HECVAT - Full | Vendor Response'!A:E,3,FALSE)</f>
        <v>Yes</v>
      </c>
      <c r="O39" s="267" t="str">
        <f>IF(LEN(VLOOKUP(B39,'Analyst Report'!$A:$I,7,FALSE))= 0,"",VLOOKUP(B39,'Analyst Report'!$A:$I,7,FALSE))</f>
        <v/>
      </c>
      <c r="P39" s="267">
        <f t="shared" si="0"/>
        <v>1</v>
      </c>
      <c r="Q39" s="267">
        <v>20</v>
      </c>
      <c r="R39" s="267">
        <f>IF(LEN(VLOOKUP(B39,'Analyst Report'!$A$31:$I$288,9,FALSE))=0,VLOOKUP(B39,'Analyst Report'!$A$31:$I$288,8,FALSE),VLOOKUP(B39,'Analyst Report'!$A$31:$I$288,9,FALSE))</f>
        <v>20</v>
      </c>
      <c r="S39" s="267">
        <f t="shared" si="1"/>
        <v>20</v>
      </c>
      <c r="T39" s="267">
        <f t="shared" si="2"/>
        <v>20</v>
      </c>
      <c r="U39" s="164" t="s">
        <v>115</v>
      </c>
      <c r="V39" s="164" t="s">
        <v>115</v>
      </c>
      <c r="W39" s="164" t="s">
        <v>115</v>
      </c>
      <c r="X39" s="164" t="s">
        <v>115</v>
      </c>
      <c r="Y39" s="164" t="s">
        <v>115</v>
      </c>
      <c r="Z39" s="164" t="s">
        <v>115</v>
      </c>
      <c r="AA39" s="164" t="s">
        <v>115</v>
      </c>
      <c r="AB39" s="164" t="s">
        <v>115</v>
      </c>
    </row>
    <row r="40" spans="1:28" ht="210">
      <c r="A40" s="169">
        <f t="shared" si="3"/>
        <v>23</v>
      </c>
      <c r="B40" s="176" t="s">
        <v>141</v>
      </c>
      <c r="C40" s="176" t="s">
        <v>2447</v>
      </c>
      <c r="D40" s="170" t="str">
        <f>VLOOKUP(B40,'HECVAT - Full | Vendor Response'!A$4:D$320,4,TRUE)</f>
        <v>Weave uses AWS Key Management System</v>
      </c>
      <c r="E40" s="165" t="s">
        <v>115</v>
      </c>
      <c r="F40" s="165" t="s">
        <v>2448</v>
      </c>
      <c r="G40" s="165" t="s">
        <v>2449</v>
      </c>
      <c r="H40" s="177" t="s">
        <v>2450</v>
      </c>
      <c r="I40" s="177" t="s">
        <v>2451</v>
      </c>
      <c r="J40" s="266" t="str">
        <f t="shared" si="4"/>
        <v>FALSE</v>
      </c>
      <c r="K40" s="173">
        <v>1</v>
      </c>
      <c r="L40" s="266" t="s">
        <v>35</v>
      </c>
      <c r="M40" s="267" t="s">
        <v>102</v>
      </c>
      <c r="N40" s="267" t="str">
        <f>VLOOKUP(B40,'HECVAT - Full | Vendor Response'!A:E,3,FALSE)</f>
        <v>Yes</v>
      </c>
      <c r="O40" s="267" t="str">
        <f>IF(LEN(VLOOKUP(B40,'Analyst Report'!$A:$I,7,FALSE))= 0,"",VLOOKUP(B40,'Analyst Report'!$A:$I,7,FALSE))</f>
        <v/>
      </c>
      <c r="P40" s="267">
        <f t="shared" si="0"/>
        <v>1</v>
      </c>
      <c r="Q40" s="267">
        <v>20</v>
      </c>
      <c r="R40" s="267">
        <f>IF(LEN(VLOOKUP(B40,'Analyst Report'!$A$31:$I$288,9,FALSE))=0,VLOOKUP(B40,'Analyst Report'!$A$31:$I$288,8,FALSE),VLOOKUP(B40,'Analyst Report'!$A$31:$I$288,9,FALSE))</f>
        <v>20</v>
      </c>
      <c r="S40" s="267">
        <f t="shared" si="1"/>
        <v>20</v>
      </c>
      <c r="T40" s="267">
        <f t="shared" si="2"/>
        <v>20</v>
      </c>
      <c r="U40" s="164" t="s">
        <v>115</v>
      </c>
      <c r="V40" s="164" t="s">
        <v>115</v>
      </c>
      <c r="W40" s="164" t="s">
        <v>115</v>
      </c>
      <c r="X40" s="164" t="s">
        <v>115</v>
      </c>
      <c r="Y40" s="164" t="s">
        <v>115</v>
      </c>
      <c r="Z40" s="164" t="s">
        <v>115</v>
      </c>
      <c r="AA40" s="164" t="s">
        <v>115</v>
      </c>
      <c r="AB40" s="164" t="s">
        <v>115</v>
      </c>
    </row>
    <row r="41" spans="1:28" ht="150">
      <c r="A41" s="169">
        <f t="shared" si="3"/>
        <v>24</v>
      </c>
      <c r="B41" s="179" t="s">
        <v>144</v>
      </c>
      <c r="C41" s="170" t="s">
        <v>2452</v>
      </c>
      <c r="D41" s="170" t="str">
        <f>VLOOKUP(B41,'HECVAT - Full | Vendor Response'!A$4:D$320,4,TRUE)</f>
        <v>Weave saves all audit logs in AWS cloudwatch</v>
      </c>
      <c r="E41" s="265" t="s">
        <v>115</v>
      </c>
      <c r="F41" s="265" t="s">
        <v>2453</v>
      </c>
      <c r="G41" s="265" t="s">
        <v>2454</v>
      </c>
      <c r="H41" s="175" t="s">
        <v>2455</v>
      </c>
      <c r="I41" s="175" t="s">
        <v>2451</v>
      </c>
      <c r="J41" s="266" t="str">
        <f t="shared" si="4"/>
        <v>TRUE</v>
      </c>
      <c r="K41" s="173">
        <v>1</v>
      </c>
      <c r="L41" s="266" t="s">
        <v>2456</v>
      </c>
      <c r="M41" s="267" t="s">
        <v>102</v>
      </c>
      <c r="N41" s="267" t="str">
        <f>VLOOKUP(B41,'HECVAT - Full | Vendor Response'!A:E,3,FALSE)</f>
        <v>Yes</v>
      </c>
      <c r="O41" s="267" t="str">
        <f>IF(LEN(VLOOKUP(B41,'Analyst Report'!$A:$I,7,FALSE))= 0,"",VLOOKUP(B41,'Analyst Report'!$A:$I,7,FALSE))</f>
        <v/>
      </c>
      <c r="P41" s="267">
        <f t="shared" si="0"/>
        <v>1</v>
      </c>
      <c r="Q41" s="267">
        <v>20</v>
      </c>
      <c r="R41" s="267">
        <f>IF(LEN(VLOOKUP(B41,'Analyst Report'!$A$31:$I$288,9,FALSE))=0,VLOOKUP(B41,'Analyst Report'!$A$31:$I$288,8,FALSE),VLOOKUP(B41,'Analyst Report'!$A$31:$I$288,9,FALSE))</f>
        <v>25</v>
      </c>
      <c r="S41" s="267">
        <f t="shared" si="1"/>
        <v>25</v>
      </c>
      <c r="T41" s="267">
        <f t="shared" si="2"/>
        <v>25</v>
      </c>
      <c r="U41" s="164" t="s">
        <v>115</v>
      </c>
      <c r="V41" s="164" t="s">
        <v>115</v>
      </c>
      <c r="W41" s="164" t="s">
        <v>115</v>
      </c>
      <c r="X41" s="164" t="s">
        <v>115</v>
      </c>
      <c r="Y41" s="164" t="s">
        <v>115</v>
      </c>
      <c r="Z41" s="164" t="s">
        <v>115</v>
      </c>
      <c r="AA41" s="164" t="s">
        <v>115</v>
      </c>
      <c r="AB41" s="164" t="s">
        <v>115</v>
      </c>
    </row>
    <row r="42" spans="1:28" ht="327.95">
      <c r="A42" s="169">
        <f t="shared" si="3"/>
        <v>25</v>
      </c>
      <c r="B42" s="179" t="s">
        <v>146</v>
      </c>
      <c r="C42" s="170" t="s">
        <v>2457</v>
      </c>
      <c r="D42" s="170" t="str">
        <f>VLOOKUP(B42,'HECVAT - Full | Vendor Response'!A$4:D$320,4,TRUE)</f>
        <v>Weave saves all audit logs in AWS cloudwatch</v>
      </c>
      <c r="E42" s="265" t="s">
        <v>115</v>
      </c>
      <c r="F42" s="265" t="s">
        <v>2458</v>
      </c>
      <c r="G42" s="265" t="s">
        <v>2459</v>
      </c>
      <c r="H42" s="175" t="s">
        <v>2460</v>
      </c>
      <c r="I42" s="175" t="s">
        <v>2451</v>
      </c>
      <c r="J42" s="266" t="str">
        <f t="shared" si="4"/>
        <v>TRUE</v>
      </c>
      <c r="K42" s="173">
        <v>1</v>
      </c>
      <c r="L42" s="266" t="s">
        <v>2456</v>
      </c>
      <c r="M42" s="267" t="s">
        <v>102</v>
      </c>
      <c r="N42" s="267" t="str">
        <f>VLOOKUP(B42,'HECVAT - Full | Vendor Response'!A:E,3,FALSE)</f>
        <v>Yes</v>
      </c>
      <c r="O42" s="267" t="str">
        <f>IF(LEN(VLOOKUP(B42,'Analyst Report'!$A:$I,7,FALSE))= 0,"",VLOOKUP(B42,'Analyst Report'!$A:$I,7,FALSE))</f>
        <v/>
      </c>
      <c r="P42" s="267">
        <f t="shared" si="0"/>
        <v>1</v>
      </c>
      <c r="Q42" s="267">
        <v>20</v>
      </c>
      <c r="R42" s="267">
        <f>IF(LEN(VLOOKUP(B42,'Analyst Report'!$A$31:$I$288,9,FALSE))=0,VLOOKUP(B42,'Analyst Report'!$A$31:$I$288,8,FALSE),VLOOKUP(B42,'Analyst Report'!$A$31:$I$288,9,FALSE))</f>
        <v>25</v>
      </c>
      <c r="S42" s="267">
        <f t="shared" si="1"/>
        <v>25</v>
      </c>
      <c r="T42" s="267">
        <f t="shared" si="2"/>
        <v>25</v>
      </c>
      <c r="U42" s="164" t="s">
        <v>115</v>
      </c>
      <c r="V42" s="164" t="s">
        <v>115</v>
      </c>
      <c r="W42" s="164" t="s">
        <v>115</v>
      </c>
      <c r="X42" s="164" t="s">
        <v>115</v>
      </c>
      <c r="Y42" s="164" t="s">
        <v>115</v>
      </c>
      <c r="Z42" s="164" t="s">
        <v>115</v>
      </c>
      <c r="AA42" s="164" t="s">
        <v>115</v>
      </c>
      <c r="AB42" s="164" t="s">
        <v>115</v>
      </c>
    </row>
    <row r="43" spans="1:28" ht="409.6">
      <c r="A43" s="169">
        <f t="shared" si="3"/>
        <v>26</v>
      </c>
      <c r="B43" s="179" t="s">
        <v>148</v>
      </c>
      <c r="C43" s="170" t="s">
        <v>2461</v>
      </c>
      <c r="D43" s="170" t="str">
        <f>VLOOKUP(B43,'HECVAT - Full | Vendor Response'!A$4:D$320,4,TRUE)</f>
        <v>Weave saves all audit logs in AWS cloudwatch</v>
      </c>
      <c r="E43" s="265" t="s">
        <v>115</v>
      </c>
      <c r="F43" s="265" t="s">
        <v>2462</v>
      </c>
      <c r="G43" s="265" t="s">
        <v>2463</v>
      </c>
      <c r="H43" s="175" t="s">
        <v>2464</v>
      </c>
      <c r="I43" s="175" t="s">
        <v>2451</v>
      </c>
      <c r="J43" s="266" t="str">
        <f t="shared" si="4"/>
        <v>TRUE</v>
      </c>
      <c r="K43" s="173">
        <v>1</v>
      </c>
      <c r="L43" s="266" t="s">
        <v>2456</v>
      </c>
      <c r="M43" s="267" t="s">
        <v>102</v>
      </c>
      <c r="N43" s="267" t="str">
        <f>VLOOKUP(B43,'HECVAT - Full | Vendor Response'!A:E,3,FALSE)</f>
        <v>Yes</v>
      </c>
      <c r="O43" s="267" t="str">
        <f>IF(LEN(VLOOKUP(B43,'Analyst Report'!$A:$I,7,FALSE))= 0,"",VLOOKUP(B43,'Analyst Report'!$A:$I,7,FALSE))</f>
        <v/>
      </c>
      <c r="P43" s="267">
        <f t="shared" si="0"/>
        <v>1</v>
      </c>
      <c r="Q43" s="267">
        <v>20</v>
      </c>
      <c r="R43" s="267">
        <f>IF(LEN(VLOOKUP(B43,'Analyst Report'!$A$31:$I$288,9,FALSE))=0,VLOOKUP(B43,'Analyst Report'!$A$31:$I$288,8,FALSE),VLOOKUP(B43,'Analyst Report'!$A$31:$I$288,9,FALSE))</f>
        <v>25</v>
      </c>
      <c r="S43" s="267">
        <f t="shared" si="1"/>
        <v>25</v>
      </c>
      <c r="T43" s="267">
        <f t="shared" si="2"/>
        <v>25</v>
      </c>
      <c r="U43" s="164" t="s">
        <v>115</v>
      </c>
      <c r="V43" s="164" t="s">
        <v>115</v>
      </c>
      <c r="W43" s="164" t="s">
        <v>115</v>
      </c>
      <c r="X43" s="164" t="s">
        <v>115</v>
      </c>
      <c r="Y43" s="164" t="s">
        <v>115</v>
      </c>
      <c r="Z43" s="164" t="s">
        <v>115</v>
      </c>
      <c r="AA43" s="164" t="s">
        <v>115</v>
      </c>
      <c r="AB43" s="164" t="s">
        <v>115</v>
      </c>
    </row>
    <row r="44" spans="1:28" ht="195">
      <c r="A44" s="169">
        <f t="shared" si="3"/>
        <v>27</v>
      </c>
      <c r="B44" s="179" t="s">
        <v>150</v>
      </c>
      <c r="C44" s="170" t="s">
        <v>2465</v>
      </c>
      <c r="D44" s="170" t="str">
        <f>VLOOKUP(B44,'HECVAT - Full | Vendor Response'!A$4:D$320,4,TRUE)</f>
        <v>Weave saves all audit logs in AWS cloudwatch</v>
      </c>
      <c r="E44" s="265" t="s">
        <v>115</v>
      </c>
      <c r="F44" s="265" t="s">
        <v>2466</v>
      </c>
      <c r="G44" s="265" t="s">
        <v>2467</v>
      </c>
      <c r="H44" s="175" t="s">
        <v>2468</v>
      </c>
      <c r="I44" s="175" t="s">
        <v>2451</v>
      </c>
      <c r="J44" s="266" t="str">
        <f t="shared" si="4"/>
        <v>TRUE</v>
      </c>
      <c r="K44" s="173">
        <v>1</v>
      </c>
      <c r="L44" s="266" t="s">
        <v>2456</v>
      </c>
      <c r="M44" s="267" t="s">
        <v>102</v>
      </c>
      <c r="N44" s="267" t="str">
        <f>VLOOKUP(B44,'HECVAT - Full | Vendor Response'!A:E,3,FALSE)</f>
        <v>Yes</v>
      </c>
      <c r="O44" s="267" t="str">
        <f>IF(LEN(VLOOKUP(B44,'Analyst Report'!$A:$I,7,FALSE))= 0,"",VLOOKUP(B44,'Analyst Report'!$A:$I,7,FALSE))</f>
        <v/>
      </c>
      <c r="P44" s="267">
        <f t="shared" si="0"/>
        <v>1</v>
      </c>
      <c r="Q44" s="267">
        <v>20</v>
      </c>
      <c r="R44" s="267">
        <f>IF(LEN(VLOOKUP(B44,'Analyst Report'!$A$31:$I$288,9,FALSE))=0,VLOOKUP(B44,'Analyst Report'!$A$31:$I$288,8,FALSE),VLOOKUP(B44,'Analyst Report'!$A$31:$I$288,9,FALSE))</f>
        <v>25</v>
      </c>
      <c r="S44" s="267">
        <f t="shared" si="1"/>
        <v>25</v>
      </c>
      <c r="T44" s="267">
        <f t="shared" si="2"/>
        <v>25</v>
      </c>
      <c r="U44" s="164" t="s">
        <v>115</v>
      </c>
      <c r="V44" s="164" t="s">
        <v>115</v>
      </c>
      <c r="W44" s="164" t="s">
        <v>115</v>
      </c>
      <c r="X44" s="164" t="s">
        <v>115</v>
      </c>
      <c r="Y44" s="164" t="s">
        <v>115</v>
      </c>
      <c r="Z44" s="164" t="s">
        <v>115</v>
      </c>
      <c r="AA44" s="164" t="s">
        <v>115</v>
      </c>
      <c r="AB44" s="164" t="s">
        <v>115</v>
      </c>
    </row>
    <row r="45" spans="1:28" ht="165">
      <c r="A45" s="169">
        <f t="shared" si="3"/>
        <v>28</v>
      </c>
      <c r="B45" s="179" t="s">
        <v>152</v>
      </c>
      <c r="C45" s="170" t="s">
        <v>2469</v>
      </c>
      <c r="D45" s="170" t="str">
        <f>VLOOKUP(B45,'HECVAT - Full | Vendor Response'!A$4:D$320,4,TRUE)</f>
        <v>Weave saves all audit logs in AWS cloudwatch</v>
      </c>
      <c r="E45" s="265" t="s">
        <v>115</v>
      </c>
      <c r="F45" s="265" t="s">
        <v>2470</v>
      </c>
      <c r="G45" s="265" t="s">
        <v>2471</v>
      </c>
      <c r="H45" s="175" t="s">
        <v>2472</v>
      </c>
      <c r="I45" s="175" t="s">
        <v>2451</v>
      </c>
      <c r="J45" s="266" t="str">
        <f t="shared" si="4"/>
        <v>TRUE</v>
      </c>
      <c r="K45" s="173">
        <v>1</v>
      </c>
      <c r="L45" s="266" t="s">
        <v>2456</v>
      </c>
      <c r="M45" s="267" t="s">
        <v>102</v>
      </c>
      <c r="N45" s="267" t="str">
        <f>VLOOKUP(B45,'HECVAT - Full | Vendor Response'!A:E,3,FALSE)</f>
        <v>Yes</v>
      </c>
      <c r="O45" s="267" t="str">
        <f>IF(LEN(VLOOKUP(B45,'Analyst Report'!$A:$I,7,FALSE))= 0,"",VLOOKUP(B45,'Analyst Report'!$A:$I,7,FALSE))</f>
        <v/>
      </c>
      <c r="P45" s="267">
        <f t="shared" si="0"/>
        <v>1</v>
      </c>
      <c r="Q45" s="267">
        <v>20</v>
      </c>
      <c r="R45" s="267">
        <f>IF(LEN(VLOOKUP(B45,'Analyst Report'!$A$31:$I$288,9,FALSE))=0,VLOOKUP(B45,'Analyst Report'!$A$31:$I$288,8,FALSE),VLOOKUP(B45,'Analyst Report'!$A$31:$I$288,9,FALSE))</f>
        <v>25</v>
      </c>
      <c r="S45" s="267">
        <f t="shared" si="1"/>
        <v>25</v>
      </c>
      <c r="T45" s="267">
        <f t="shared" si="2"/>
        <v>25</v>
      </c>
      <c r="U45" s="164" t="s">
        <v>115</v>
      </c>
      <c r="V45" s="164" t="s">
        <v>115</v>
      </c>
      <c r="W45" s="164" t="s">
        <v>115</v>
      </c>
      <c r="X45" s="164" t="s">
        <v>115</v>
      </c>
      <c r="Y45" s="164" t="s">
        <v>115</v>
      </c>
      <c r="Z45" s="164" t="s">
        <v>115</v>
      </c>
      <c r="AA45" s="164" t="s">
        <v>115</v>
      </c>
      <c r="AB45" s="164" t="s">
        <v>115</v>
      </c>
    </row>
    <row r="46" spans="1:28" ht="45">
      <c r="A46" s="169">
        <f t="shared" si="3"/>
        <v>29</v>
      </c>
      <c r="B46" s="179" t="s">
        <v>154</v>
      </c>
      <c r="C46" s="170" t="s">
        <v>2473</v>
      </c>
      <c r="D46" s="170" t="str">
        <f>VLOOKUP(B46,'HECVAT - Full | Vendor Response'!A$4:D$320,4,TRUE)</f>
        <v>Weave saves all audit logs in AWS cloudwatch</v>
      </c>
      <c r="E46" s="265" t="s">
        <v>115</v>
      </c>
      <c r="F46" s="265" t="s">
        <v>2474</v>
      </c>
      <c r="G46" s="265" t="s">
        <v>2475</v>
      </c>
      <c r="I46" s="175" t="s">
        <v>2451</v>
      </c>
      <c r="J46" s="266" t="str">
        <f t="shared" si="4"/>
        <v>TRUE</v>
      </c>
      <c r="K46" s="173">
        <v>1</v>
      </c>
      <c r="L46" s="266" t="s">
        <v>2456</v>
      </c>
      <c r="M46" s="267" t="s">
        <v>102</v>
      </c>
      <c r="N46" s="267" t="str">
        <f>VLOOKUP(B46,'HECVAT - Full | Vendor Response'!A:E,3,FALSE)</f>
        <v>Yes</v>
      </c>
      <c r="O46" s="267" t="str">
        <f>IF(LEN(VLOOKUP(B46,'Analyst Report'!$A:$I,7,FALSE))= 0,"",VLOOKUP(B46,'Analyst Report'!$A:$I,7,FALSE))</f>
        <v/>
      </c>
      <c r="P46" s="267">
        <f t="shared" si="0"/>
        <v>1</v>
      </c>
      <c r="Q46" s="267">
        <v>20</v>
      </c>
      <c r="R46" s="267">
        <f>IF(LEN(VLOOKUP(B46,'Analyst Report'!$A$31:$I$288,9,FALSE))=0,VLOOKUP(B46,'Analyst Report'!$A$31:$I$288,8,FALSE),VLOOKUP(B46,'Analyst Report'!$A$31:$I$288,9,FALSE))</f>
        <v>25</v>
      </c>
      <c r="S46" s="267">
        <f t="shared" si="1"/>
        <v>25</v>
      </c>
      <c r="T46" s="267">
        <f t="shared" si="2"/>
        <v>25</v>
      </c>
      <c r="U46" s="164" t="s">
        <v>115</v>
      </c>
      <c r="V46" s="164" t="s">
        <v>115</v>
      </c>
      <c r="W46" s="164" t="s">
        <v>115</v>
      </c>
      <c r="X46" s="164" t="s">
        <v>115</v>
      </c>
      <c r="Y46" s="164" t="s">
        <v>115</v>
      </c>
      <c r="Z46" s="164" t="s">
        <v>115</v>
      </c>
      <c r="AA46" s="164" t="s">
        <v>115</v>
      </c>
      <c r="AB46" s="164" t="s">
        <v>115</v>
      </c>
    </row>
    <row r="47" spans="1:28" ht="150">
      <c r="A47" s="169">
        <f t="shared" si="3"/>
        <v>30</v>
      </c>
      <c r="B47" s="179" t="s">
        <v>156</v>
      </c>
      <c r="C47" s="170" t="s">
        <v>2476</v>
      </c>
      <c r="D47" s="170" t="str">
        <f>VLOOKUP(B47,'HECVAT - Full | Vendor Response'!A$4:D$320,4,TRUE)</f>
        <v>Weave saves all audit logs in AWS cloudwatch</v>
      </c>
      <c r="E47" s="265" t="s">
        <v>115</v>
      </c>
      <c r="F47" s="265" t="s">
        <v>2477</v>
      </c>
      <c r="G47" s="265" t="s">
        <v>2478</v>
      </c>
      <c r="H47" s="175" t="s">
        <v>2479</v>
      </c>
      <c r="I47" s="175" t="s">
        <v>2451</v>
      </c>
      <c r="J47" s="266" t="str">
        <f t="shared" si="4"/>
        <v>TRUE</v>
      </c>
      <c r="K47" s="173">
        <v>1</v>
      </c>
      <c r="L47" s="266" t="s">
        <v>2456</v>
      </c>
      <c r="M47" s="267" t="s">
        <v>102</v>
      </c>
      <c r="N47" s="267" t="str">
        <f>VLOOKUP(B47,'HECVAT - Full | Vendor Response'!A:E,3,FALSE)</f>
        <v>Yes</v>
      </c>
      <c r="O47" s="267" t="str">
        <f>IF(LEN(VLOOKUP(B47,'Analyst Report'!$A:$I,7,FALSE))= 0,"",VLOOKUP(B47,'Analyst Report'!$A:$I,7,FALSE))</f>
        <v/>
      </c>
      <c r="P47" s="267">
        <f t="shared" si="0"/>
        <v>1</v>
      </c>
      <c r="Q47" s="267">
        <v>20</v>
      </c>
      <c r="R47" s="267">
        <f>IF(LEN(VLOOKUP(B47,'Analyst Report'!$A$31:$I$288,9,FALSE))=0,VLOOKUP(B47,'Analyst Report'!$A$31:$I$288,8,FALSE),VLOOKUP(B47,'Analyst Report'!$A$31:$I$288,9,FALSE))</f>
        <v>25</v>
      </c>
      <c r="S47" s="267">
        <f t="shared" si="1"/>
        <v>25</v>
      </c>
      <c r="T47" s="267">
        <f t="shared" si="2"/>
        <v>25</v>
      </c>
      <c r="U47" s="164" t="s">
        <v>115</v>
      </c>
      <c r="V47" s="164" t="s">
        <v>115</v>
      </c>
      <c r="W47" s="164" t="s">
        <v>115</v>
      </c>
      <c r="X47" s="164" t="s">
        <v>115</v>
      </c>
      <c r="Y47" s="164" t="s">
        <v>115</v>
      </c>
      <c r="Z47" s="164" t="s">
        <v>115</v>
      </c>
      <c r="AA47" s="164" t="s">
        <v>115</v>
      </c>
      <c r="AB47" s="164" t="s">
        <v>115</v>
      </c>
    </row>
    <row r="48" spans="1:28" ht="120">
      <c r="A48" s="169">
        <f t="shared" si="3"/>
        <v>31</v>
      </c>
      <c r="B48" s="179" t="s">
        <v>158</v>
      </c>
      <c r="C48" s="170" t="s">
        <v>2480</v>
      </c>
      <c r="D48" s="170" t="str">
        <f>VLOOKUP(B48,'HECVAT - Full | Vendor Response'!A$4:D$320,4,TRUE)</f>
        <v>Weave saves all audit logs in AWS cloudwatch</v>
      </c>
      <c r="E48" s="265" t="s">
        <v>115</v>
      </c>
      <c r="F48" s="265" t="s">
        <v>2481</v>
      </c>
      <c r="G48" s="265" t="s">
        <v>2482</v>
      </c>
      <c r="H48" s="175" t="s">
        <v>2483</v>
      </c>
      <c r="I48" s="175" t="s">
        <v>2451</v>
      </c>
      <c r="J48" s="266" t="str">
        <f t="shared" si="4"/>
        <v>TRUE</v>
      </c>
      <c r="K48" s="173">
        <v>1</v>
      </c>
      <c r="L48" s="266" t="s">
        <v>2456</v>
      </c>
      <c r="M48" s="267" t="s">
        <v>102</v>
      </c>
      <c r="N48" s="267" t="str">
        <f>VLOOKUP(B48,'HECVAT - Full | Vendor Response'!A:E,3,FALSE)</f>
        <v>Yes</v>
      </c>
      <c r="O48" s="267" t="str">
        <f>IF(LEN(VLOOKUP(B48,'Analyst Report'!$A:$I,7,FALSE))= 0,"",VLOOKUP(B48,'Analyst Report'!$A:$I,7,FALSE))</f>
        <v/>
      </c>
      <c r="P48" s="267">
        <f t="shared" si="0"/>
        <v>1</v>
      </c>
      <c r="Q48" s="267">
        <v>20</v>
      </c>
      <c r="R48" s="267">
        <f>IF(LEN(VLOOKUP(B48,'Analyst Report'!$A$31:$I$288,9,FALSE))=0,VLOOKUP(B48,'Analyst Report'!$A$31:$I$288,8,FALSE),VLOOKUP(B48,'Analyst Report'!$A$31:$I$288,9,FALSE))</f>
        <v>25</v>
      </c>
      <c r="S48" s="267">
        <f t="shared" si="1"/>
        <v>25</v>
      </c>
      <c r="T48" s="267">
        <f t="shared" si="2"/>
        <v>25</v>
      </c>
      <c r="U48" s="164" t="s">
        <v>115</v>
      </c>
      <c r="V48" s="164" t="s">
        <v>115</v>
      </c>
      <c r="W48" s="164" t="s">
        <v>115</v>
      </c>
      <c r="X48" s="164" t="s">
        <v>115</v>
      </c>
      <c r="Y48" s="164" t="s">
        <v>115</v>
      </c>
      <c r="Z48" s="164" t="s">
        <v>115</v>
      </c>
      <c r="AA48" s="164" t="s">
        <v>115</v>
      </c>
      <c r="AB48" s="164" t="s">
        <v>115</v>
      </c>
    </row>
    <row r="49" spans="1:28" ht="300">
      <c r="A49" s="169">
        <f t="shared" si="3"/>
        <v>32</v>
      </c>
      <c r="B49" s="179" t="s">
        <v>160</v>
      </c>
      <c r="C49" s="170" t="s">
        <v>2484</v>
      </c>
      <c r="D49" s="170" t="str">
        <f>VLOOKUP(B49,'HECVAT - Full | Vendor Response'!A$4:D$320,4,TRUE)</f>
        <v>Weave saves all audit logs in AWS cloudwatch</v>
      </c>
      <c r="E49" s="265" t="s">
        <v>115</v>
      </c>
      <c r="F49" s="265" t="s">
        <v>115</v>
      </c>
      <c r="G49" s="265" t="s">
        <v>2485</v>
      </c>
      <c r="H49" s="175" t="s">
        <v>2486</v>
      </c>
      <c r="I49" s="175" t="s">
        <v>2451</v>
      </c>
      <c r="J49" s="266" t="str">
        <f t="shared" si="4"/>
        <v>TRUE</v>
      </c>
      <c r="K49" s="173">
        <v>1</v>
      </c>
      <c r="L49" s="266" t="s">
        <v>2456</v>
      </c>
      <c r="M49" s="267" t="s">
        <v>100</v>
      </c>
      <c r="N49" s="267" t="str">
        <f>VLOOKUP(B49,'HECVAT - Full | Vendor Response'!A:E,3,FALSE)</f>
        <v>Yes</v>
      </c>
      <c r="O49" s="267" t="str">
        <f>IF(LEN(VLOOKUP(B49,'Analyst Report'!$A:$I,7,FALSE))= 0,"",VLOOKUP(B49,'Analyst Report'!$A:$I,7,FALSE))</f>
        <v/>
      </c>
      <c r="P49" s="267">
        <f t="shared" si="0"/>
        <v>0</v>
      </c>
      <c r="Q49" s="267">
        <v>20</v>
      </c>
      <c r="R49" s="267">
        <f>IF(LEN(VLOOKUP(B49,'Analyst Report'!$A$31:$I$288,9,FALSE))=0,VLOOKUP(B49,'Analyst Report'!$A$31:$I$288,8,FALSE),VLOOKUP(B49,'Analyst Report'!$A$31:$I$288,9,FALSE))</f>
        <v>25</v>
      </c>
      <c r="S49" s="267">
        <f t="shared" si="1"/>
        <v>25</v>
      </c>
      <c r="T49" s="267">
        <f t="shared" si="2"/>
        <v>0</v>
      </c>
      <c r="U49" s="164" t="s">
        <v>115</v>
      </c>
      <c r="V49" s="164" t="s">
        <v>115</v>
      </c>
      <c r="W49" s="164" t="s">
        <v>115</v>
      </c>
      <c r="X49" s="164" t="s">
        <v>115</v>
      </c>
      <c r="Y49" s="164" t="s">
        <v>115</v>
      </c>
      <c r="Z49" s="164" t="s">
        <v>115</v>
      </c>
      <c r="AA49" s="164" t="s">
        <v>115</v>
      </c>
      <c r="AB49" s="164" t="s">
        <v>115</v>
      </c>
    </row>
    <row r="50" spans="1:28" ht="180">
      <c r="A50" s="169">
        <f t="shared" si="3"/>
        <v>33</v>
      </c>
      <c r="B50" s="170" t="s">
        <v>162</v>
      </c>
      <c r="C50" s="170" t="s">
        <v>2487</v>
      </c>
      <c r="D50" s="170" t="str">
        <f>VLOOKUP(B50,'HECVAT - Full | Vendor Response'!A$4:D$320,4,TRUE)</f>
        <v>Upon request, an institution can access a demo account.</v>
      </c>
      <c r="E50" s="265" t="s">
        <v>115</v>
      </c>
      <c r="F50" s="265" t="s">
        <v>2488</v>
      </c>
      <c r="G50" s="265" t="s">
        <v>2489</v>
      </c>
      <c r="H50" s="175" t="s">
        <v>2490</v>
      </c>
      <c r="I50" s="175" t="s">
        <v>2491</v>
      </c>
      <c r="J50" s="266" t="str">
        <f t="shared" si="4"/>
        <v>TRUE</v>
      </c>
      <c r="K50" s="173">
        <f>IF(N$19="Yes",1,0)</f>
        <v>1</v>
      </c>
      <c r="L50" s="266" t="s">
        <v>2492</v>
      </c>
      <c r="M50" s="267" t="s">
        <v>102</v>
      </c>
      <c r="N50" s="267" t="str">
        <f>VLOOKUP(B50,'HECVAT - Full | Vendor Response'!A:E,3,FALSE)</f>
        <v>Yes</v>
      </c>
      <c r="O50" s="267" t="str">
        <f>IF(LEN(VLOOKUP(B50,'Analyst Report'!$A:$I,7,FALSE))= 0,"",VLOOKUP(B50,'Analyst Report'!$A:$I,7,FALSE))</f>
        <v/>
      </c>
      <c r="P50" s="267">
        <f t="shared" si="0"/>
        <v>1</v>
      </c>
      <c r="Q50" s="267">
        <v>25</v>
      </c>
      <c r="R50" s="267">
        <f>IF(LEN(VLOOKUP(B50,'Analyst Report'!$A$31:$I$288,9,FALSE))=0,VLOOKUP(B50,'Analyst Report'!$A$31:$I$288,8,FALSE),VLOOKUP(B50,'Analyst Report'!$A$31:$I$288,9,FALSE))</f>
        <v>25</v>
      </c>
      <c r="S50" s="267">
        <f t="shared" si="1"/>
        <v>25</v>
      </c>
      <c r="T50" s="267">
        <f t="shared" si="2"/>
        <v>25</v>
      </c>
      <c r="U50" s="164" t="s">
        <v>115</v>
      </c>
      <c r="V50" s="164" t="s">
        <v>115</v>
      </c>
      <c r="W50" s="164" t="s">
        <v>115</v>
      </c>
      <c r="X50" s="164" t="s">
        <v>115</v>
      </c>
      <c r="Y50" s="164" t="s">
        <v>115</v>
      </c>
      <c r="Z50" s="164" t="s">
        <v>115</v>
      </c>
      <c r="AA50" s="164" t="s">
        <v>115</v>
      </c>
      <c r="AB50" s="164" t="s">
        <v>115</v>
      </c>
    </row>
    <row r="51" spans="1:28" ht="270">
      <c r="A51" s="169">
        <f t="shared" si="3"/>
        <v>34</v>
      </c>
      <c r="B51" s="170" t="s">
        <v>164</v>
      </c>
      <c r="C51" s="170" t="s">
        <v>2493</v>
      </c>
      <c r="D51" s="170" t="str">
        <f>VLOOKUP(B51,'HECVAT - Full | Vendor Response'!A$4:D$320,4,TRUE)</f>
        <v>Upon request, an institution can access a demo account.</v>
      </c>
      <c r="E51" s="265" t="s">
        <v>2494</v>
      </c>
      <c r="F51" s="265" t="s">
        <v>115</v>
      </c>
      <c r="G51" s="265" t="s">
        <v>115</v>
      </c>
      <c r="H51" s="175" t="s">
        <v>2495</v>
      </c>
      <c r="I51" s="175" t="s">
        <v>2496</v>
      </c>
      <c r="J51" s="266" t="str">
        <f t="shared" si="4"/>
        <v>FALSE</v>
      </c>
      <c r="K51" s="173">
        <f t="shared" ref="K51:K54" si="5">IF(N$19="Yes",1,0)</f>
        <v>1</v>
      </c>
      <c r="L51" s="266" t="s">
        <v>2492</v>
      </c>
      <c r="M51" s="267" t="s">
        <v>102</v>
      </c>
      <c r="N51" s="267" t="str">
        <f>VLOOKUP(B51,'HECVAT - Full | Vendor Response'!A:E,3,FALSE)</f>
        <v>AWS: IaaS/hosting, Mongo Db: IaaS/hosting, Constant Contact: API connection for Weave Member Directory, Nailor: API connection for Member directory</v>
      </c>
      <c r="O51" s="267" t="str">
        <f>IF(LEN(VLOOKUP(B51,'Analyst Report'!$A:$I,7,FALSE))= 0,"",VLOOKUP(B51,'Analyst Report'!$A:$I,7,FALSE))</f>
        <v/>
      </c>
      <c r="P51" s="267">
        <f t="shared" si="0"/>
        <v>0</v>
      </c>
      <c r="Q51" s="267">
        <v>25</v>
      </c>
      <c r="R51" s="267">
        <f>IF(LEN(VLOOKUP(B51,'Analyst Report'!$A$31:$I$288,9,FALSE))=0,VLOOKUP(B51,'Analyst Report'!$A$31:$I$288,8,FALSE),VLOOKUP(B51,'Analyst Report'!$A$31:$I$288,9,FALSE))</f>
        <v>15</v>
      </c>
      <c r="S51" s="267">
        <f t="shared" si="1"/>
        <v>15</v>
      </c>
      <c r="T51" s="267">
        <f t="shared" si="2"/>
        <v>0</v>
      </c>
      <c r="U51" s="164" t="s">
        <v>115</v>
      </c>
      <c r="V51" s="164" t="s">
        <v>115</v>
      </c>
      <c r="W51" s="164" t="s">
        <v>115</v>
      </c>
      <c r="X51" s="164" t="s">
        <v>115</v>
      </c>
      <c r="Y51" s="164" t="s">
        <v>115</v>
      </c>
      <c r="Z51" s="164" t="s">
        <v>115</v>
      </c>
      <c r="AA51" s="164" t="s">
        <v>115</v>
      </c>
      <c r="AB51" s="164" t="s">
        <v>115</v>
      </c>
    </row>
    <row r="52" spans="1:28" ht="108" customHeight="1">
      <c r="A52" s="169">
        <f t="shared" si="3"/>
        <v>35</v>
      </c>
      <c r="B52" s="170" t="s">
        <v>166</v>
      </c>
      <c r="C52" s="170" t="s">
        <v>2497</v>
      </c>
      <c r="D52" s="170" t="str">
        <f>VLOOKUP(B52,'HECVAT - Full | Vendor Response'!A$4:D$320,4,TRUE)</f>
        <v>Upon request, an institution can access a demo account.</v>
      </c>
      <c r="E52" s="265" t="s">
        <v>115</v>
      </c>
      <c r="F52" s="265" t="s">
        <v>115</v>
      </c>
      <c r="G52" s="265" t="s">
        <v>115</v>
      </c>
      <c r="H52" s="175" t="s">
        <v>2498</v>
      </c>
      <c r="I52" s="175" t="s">
        <v>2499</v>
      </c>
      <c r="J52" s="266" t="str">
        <f t="shared" si="4"/>
        <v>FALSE</v>
      </c>
      <c r="K52" s="173">
        <f t="shared" si="5"/>
        <v>1</v>
      </c>
      <c r="L52" s="266" t="s">
        <v>2492</v>
      </c>
      <c r="M52" s="267" t="s">
        <v>102</v>
      </c>
      <c r="N52" s="267" t="str">
        <f>VLOOKUP(B52,'HECVAT - Full | Vendor Response'!A:E,3,FALSE)</f>
        <v>Weave has an Interconnection Security Agreement with third-parties who process institution data.</v>
      </c>
      <c r="O52" s="267" t="str">
        <f>IF(LEN(VLOOKUP(B52,'Analyst Report'!$A:$I,7,FALSE))= 0,"",VLOOKUP(B52,'Analyst Report'!$A:$I,7,FALSE))</f>
        <v/>
      </c>
      <c r="P52" s="267">
        <f t="shared" si="0"/>
        <v>0</v>
      </c>
      <c r="Q52" s="267">
        <v>25</v>
      </c>
      <c r="R52" s="267">
        <f>IF(LEN(VLOOKUP(B52,'Analyst Report'!$A$31:$I$288,9,FALSE))=0,VLOOKUP(B52,'Analyst Report'!$A$31:$I$288,8,FALSE),VLOOKUP(B52,'Analyst Report'!$A$31:$I$288,9,FALSE))</f>
        <v>15</v>
      </c>
      <c r="S52" s="267">
        <f t="shared" si="1"/>
        <v>15</v>
      </c>
      <c r="T52" s="267">
        <f t="shared" si="2"/>
        <v>0</v>
      </c>
      <c r="U52" s="164" t="s">
        <v>115</v>
      </c>
      <c r="V52" s="164" t="s">
        <v>115</v>
      </c>
      <c r="W52" s="164" t="s">
        <v>115</v>
      </c>
      <c r="X52" s="164" t="s">
        <v>115</v>
      </c>
      <c r="Y52" s="164" t="s">
        <v>115</v>
      </c>
      <c r="Z52" s="164" t="s">
        <v>115</v>
      </c>
      <c r="AA52" s="164" t="s">
        <v>115</v>
      </c>
      <c r="AB52" s="164" t="s">
        <v>115</v>
      </c>
    </row>
    <row r="53" spans="1:28" ht="356.1">
      <c r="A53" s="169">
        <f t="shared" si="3"/>
        <v>36</v>
      </c>
      <c r="B53" s="170" t="s">
        <v>168</v>
      </c>
      <c r="C53" s="170" t="s">
        <v>2500</v>
      </c>
      <c r="D53" s="170" t="str">
        <f>VLOOKUP(B53,'HECVAT - Full | Vendor Response'!A$4:D$320,4,TRUE)</f>
        <v>Upon request, an institution can access a demo account.</v>
      </c>
      <c r="E53" s="265" t="s">
        <v>2501</v>
      </c>
      <c r="F53" s="265" t="s">
        <v>2502</v>
      </c>
      <c r="G53" s="265" t="s">
        <v>2503</v>
      </c>
      <c r="H53" s="175" t="s">
        <v>2504</v>
      </c>
      <c r="I53" s="175" t="s">
        <v>2505</v>
      </c>
      <c r="J53" s="266" t="str">
        <f t="shared" si="4"/>
        <v>FALSE</v>
      </c>
      <c r="K53" s="173">
        <f t="shared" si="5"/>
        <v>1</v>
      </c>
      <c r="L53" s="266" t="s">
        <v>2492</v>
      </c>
      <c r="M53" s="267" t="s">
        <v>102</v>
      </c>
      <c r="N53" s="267" t="str">
        <f>VLOOKUP(B53,'HECVAT - Full | Vendor Response'!A:E,3,FALSE)</f>
        <v>Yes</v>
      </c>
      <c r="O53" s="267" t="str">
        <f>IF(LEN(VLOOKUP(B53,'Analyst Report'!$A:$I,7,FALSE))= 0,"",VLOOKUP(B53,'Analyst Report'!$A:$I,7,FALSE))</f>
        <v/>
      </c>
      <c r="P53" s="267">
        <f t="shared" si="0"/>
        <v>1</v>
      </c>
      <c r="Q53" s="267">
        <v>25</v>
      </c>
      <c r="R53" s="267">
        <f>IF(LEN(VLOOKUP(B53,'Analyst Report'!$A$31:$I$288,9,FALSE))=0,VLOOKUP(B53,'Analyst Report'!$A$31:$I$288,8,FALSE),VLOOKUP(B53,'Analyst Report'!$A$31:$I$288,9,FALSE))</f>
        <v>15</v>
      </c>
      <c r="S53" s="267">
        <f t="shared" si="1"/>
        <v>15</v>
      </c>
      <c r="T53" s="267">
        <f t="shared" si="2"/>
        <v>15</v>
      </c>
      <c r="U53" s="164" t="s">
        <v>115</v>
      </c>
      <c r="V53" s="164" t="s">
        <v>115</v>
      </c>
      <c r="W53" s="164" t="s">
        <v>115</v>
      </c>
      <c r="X53" s="164" t="s">
        <v>115</v>
      </c>
      <c r="Y53" s="164" t="s">
        <v>115</v>
      </c>
      <c r="Z53" s="164" t="s">
        <v>115</v>
      </c>
      <c r="AA53" s="164" t="s">
        <v>115</v>
      </c>
      <c r="AB53" s="164" t="s">
        <v>115</v>
      </c>
    </row>
    <row r="54" spans="1:28" ht="180">
      <c r="A54" s="169">
        <f t="shared" si="3"/>
        <v>37</v>
      </c>
      <c r="B54" s="170" t="s">
        <v>170</v>
      </c>
      <c r="C54" s="170" t="s">
        <v>2506</v>
      </c>
      <c r="D54" s="170" t="str">
        <f>VLOOKUP(B54,'HECVAT - Full | Vendor Response'!A$4:D$320,4,TRUE)</f>
        <v>Upon request, an institution can access a demo account.</v>
      </c>
      <c r="E54" s="265" t="s">
        <v>2507</v>
      </c>
      <c r="F54" s="265" t="s">
        <v>2508</v>
      </c>
      <c r="G54" s="265" t="s">
        <v>2509</v>
      </c>
      <c r="H54" s="175" t="s">
        <v>2510</v>
      </c>
      <c r="I54" s="175" t="s">
        <v>2511</v>
      </c>
      <c r="J54" s="266" t="str">
        <f t="shared" si="4"/>
        <v>FALSE</v>
      </c>
      <c r="K54" s="173">
        <f t="shared" si="5"/>
        <v>1</v>
      </c>
      <c r="L54" s="266" t="s">
        <v>2492</v>
      </c>
      <c r="M54" s="267" t="s">
        <v>102</v>
      </c>
      <c r="N54" s="267" t="str">
        <f>VLOOKUP(B54,'HECVAT - Full | Vendor Response'!A:E,3,FALSE)</f>
        <v>Yes</v>
      </c>
      <c r="O54" s="267" t="str">
        <f>IF(LEN(VLOOKUP(B54,'Analyst Report'!$A:$I,7,FALSE))= 0,"",VLOOKUP(B54,'Analyst Report'!$A:$I,7,FALSE))</f>
        <v/>
      </c>
      <c r="P54" s="267">
        <f t="shared" si="0"/>
        <v>1</v>
      </c>
      <c r="Q54" s="267">
        <v>20</v>
      </c>
      <c r="R54" s="267">
        <f>IF(LEN(VLOOKUP(B54,'Analyst Report'!$A$31:$I$288,9,FALSE))=0,VLOOKUP(B54,'Analyst Report'!$A$31:$I$288,8,FALSE),VLOOKUP(B54,'Analyst Report'!$A$31:$I$288,9,FALSE))</f>
        <v>15</v>
      </c>
      <c r="S54" s="267">
        <f t="shared" si="1"/>
        <v>15</v>
      </c>
      <c r="T54" s="267">
        <f t="shared" si="2"/>
        <v>15</v>
      </c>
      <c r="U54" s="164" t="s">
        <v>115</v>
      </c>
      <c r="V54" s="164" t="s">
        <v>115</v>
      </c>
      <c r="W54" s="164" t="s">
        <v>115</v>
      </c>
      <c r="X54" s="164" t="s">
        <v>115</v>
      </c>
      <c r="Y54" s="164" t="s">
        <v>115</v>
      </c>
      <c r="Z54" s="164" t="s">
        <v>115</v>
      </c>
      <c r="AA54" s="164" t="s">
        <v>115</v>
      </c>
      <c r="AB54" s="164" t="s">
        <v>115</v>
      </c>
    </row>
    <row r="55" spans="1:28" ht="150">
      <c r="A55" s="169">
        <f t="shared" si="3"/>
        <v>38</v>
      </c>
      <c r="B55" s="170" t="s">
        <v>172</v>
      </c>
      <c r="C55" s="170" t="s">
        <v>2512</v>
      </c>
      <c r="D55" s="170" t="str">
        <f>VLOOKUP(B55,'HECVAT - Full | Vendor Response'!A$4:D$320,4,TRUE)</f>
        <v>Weave Education has a Configuration Management policy and procedure, as well as a Change Management process. These encompass all system management events and configuration strategy.</v>
      </c>
      <c r="E55" s="265" t="s">
        <v>115</v>
      </c>
      <c r="F55" s="265" t="s">
        <v>115</v>
      </c>
      <c r="G55" s="265" t="s">
        <v>115</v>
      </c>
      <c r="H55" s="175" t="s">
        <v>2513</v>
      </c>
      <c r="I55" s="175" t="s">
        <v>2337</v>
      </c>
      <c r="J55" s="266" t="str">
        <f t="shared" si="4"/>
        <v>FALSE</v>
      </c>
      <c r="K55" s="173">
        <f>IF(N$23="Yes",1,0)</f>
        <v>0</v>
      </c>
      <c r="L55" s="266" t="s">
        <v>2514</v>
      </c>
      <c r="M55" s="267" t="s">
        <v>100</v>
      </c>
      <c r="N55" s="267">
        <f>VLOOKUP(B55,'HECVAT - Full | Vendor Response'!A:E,3,FALSE)</f>
        <v>0</v>
      </c>
      <c r="O55" s="267" t="str">
        <f>IF(LEN(VLOOKUP(B55,'Analyst Report'!$A:$I,7,FALSE))= 0,"",VLOOKUP(B55,'Analyst Report'!$A:$I,7,FALSE))</f>
        <v/>
      </c>
      <c r="P55" s="267">
        <f t="shared" si="0"/>
        <v>0</v>
      </c>
      <c r="Q55" s="267">
        <v>20</v>
      </c>
      <c r="R55" s="267">
        <f>IF(LEN(VLOOKUP(B55,'Analyst Report'!$A$31:$I$288,9,FALSE))=0,VLOOKUP(B55,'Analyst Report'!$A$31:$I$288,8,FALSE),VLOOKUP(B55,'Analyst Report'!$A$31:$I$288,9,FALSE))</f>
        <v>15</v>
      </c>
      <c r="S55" s="267">
        <f t="shared" si="1"/>
        <v>0</v>
      </c>
      <c r="T55" s="267">
        <f t="shared" si="2"/>
        <v>0</v>
      </c>
      <c r="U55" s="164" t="s">
        <v>115</v>
      </c>
      <c r="V55" s="164" t="s">
        <v>115</v>
      </c>
      <c r="W55" s="164" t="s">
        <v>115</v>
      </c>
      <c r="X55" s="164" t="s">
        <v>115</v>
      </c>
      <c r="Y55" s="164" t="s">
        <v>115</v>
      </c>
      <c r="Z55" s="164" t="s">
        <v>115</v>
      </c>
      <c r="AA55" s="164" t="s">
        <v>115</v>
      </c>
      <c r="AB55" s="164" t="s">
        <v>115</v>
      </c>
    </row>
    <row r="56" spans="1:28" ht="150">
      <c r="A56" s="169">
        <f t="shared" si="3"/>
        <v>39</v>
      </c>
      <c r="B56" s="170" t="s">
        <v>174</v>
      </c>
      <c r="C56" s="170" t="s">
        <v>2515</v>
      </c>
      <c r="D56" s="170" t="str">
        <f>VLOOKUP(B56,'HECVAT - Full | Vendor Response'!A$4:D$320,4,TRUE)</f>
        <v>Weave Education has a Configuration Management policy and procedure, as well as a Change Management process. These encompass all system management events and configuration strategy.</v>
      </c>
      <c r="E56" s="265" t="s">
        <v>115</v>
      </c>
      <c r="F56" s="265" t="s">
        <v>115</v>
      </c>
      <c r="G56" s="265" t="s">
        <v>115</v>
      </c>
      <c r="H56" s="175" t="s">
        <v>2513</v>
      </c>
      <c r="I56" s="175" t="s">
        <v>2337</v>
      </c>
      <c r="J56" s="266" t="str">
        <f t="shared" si="4"/>
        <v>FALSE</v>
      </c>
      <c r="K56" s="173">
        <f t="shared" ref="K56:K63" si="6">IF(N$23="Yes",1,0)</f>
        <v>0</v>
      </c>
      <c r="L56" s="266" t="s">
        <v>2514</v>
      </c>
      <c r="M56" s="267" t="s">
        <v>100</v>
      </c>
      <c r="N56" s="267">
        <f>VLOOKUP(B56,'HECVAT - Full | Vendor Response'!A:E,3,FALSE)</f>
        <v>0</v>
      </c>
      <c r="O56" s="267" t="str">
        <f>IF(LEN(VLOOKUP(B56,'Analyst Report'!$A:$I,7,FALSE))= 0,"",VLOOKUP(B56,'Analyst Report'!$A:$I,7,FALSE))</f>
        <v/>
      </c>
      <c r="P56" s="267">
        <f t="shared" si="0"/>
        <v>0</v>
      </c>
      <c r="Q56" s="267">
        <v>25</v>
      </c>
      <c r="R56" s="267">
        <f>IF(LEN(VLOOKUP(B56,'Analyst Report'!$A$31:$I$288,9,FALSE))=0,VLOOKUP(B56,'Analyst Report'!$A$31:$I$288,8,FALSE),VLOOKUP(B56,'Analyst Report'!$A$31:$I$288,9,FALSE))</f>
        <v>15</v>
      </c>
      <c r="S56" s="267">
        <f t="shared" si="1"/>
        <v>0</v>
      </c>
      <c r="T56" s="267">
        <f t="shared" si="2"/>
        <v>0</v>
      </c>
      <c r="U56" s="164" t="s">
        <v>115</v>
      </c>
      <c r="V56" s="164" t="s">
        <v>115</v>
      </c>
      <c r="W56" s="164" t="s">
        <v>115</v>
      </c>
      <c r="X56" s="164" t="s">
        <v>115</v>
      </c>
      <c r="Y56" s="164" t="s">
        <v>115</v>
      </c>
      <c r="Z56" s="164" t="s">
        <v>115</v>
      </c>
      <c r="AA56" s="164" t="s">
        <v>115</v>
      </c>
      <c r="AB56" s="164" t="s">
        <v>115</v>
      </c>
    </row>
    <row r="57" spans="1:28" ht="150">
      <c r="A57" s="169">
        <f t="shared" si="3"/>
        <v>40</v>
      </c>
      <c r="B57" s="170" t="s">
        <v>175</v>
      </c>
      <c r="C57" s="170" t="s">
        <v>2516</v>
      </c>
      <c r="D57" s="170" t="str">
        <f>VLOOKUP(B57,'HECVAT - Full | Vendor Response'!A$4:D$320,4,TRUE)</f>
        <v>Weave Education has a Configuration Management policy and procedure, as well as a Change Management process. These encompass all system management events and configuration strategy.</v>
      </c>
      <c r="E57" s="265" t="s">
        <v>115</v>
      </c>
      <c r="F57" s="265" t="s">
        <v>115</v>
      </c>
      <c r="G57" s="265" t="s">
        <v>115</v>
      </c>
      <c r="H57" s="175" t="s">
        <v>2513</v>
      </c>
      <c r="I57" s="175" t="s">
        <v>2337</v>
      </c>
      <c r="J57" s="266" t="str">
        <f t="shared" si="4"/>
        <v>FALSE</v>
      </c>
      <c r="K57" s="173">
        <f t="shared" si="6"/>
        <v>0</v>
      </c>
      <c r="L57" s="266" t="s">
        <v>2514</v>
      </c>
      <c r="M57" s="267" t="s">
        <v>100</v>
      </c>
      <c r="N57" s="267">
        <f>VLOOKUP(B57,'HECVAT - Full | Vendor Response'!A:E,3,FALSE)</f>
        <v>0</v>
      </c>
      <c r="O57" s="267" t="str">
        <f>IF(LEN(VLOOKUP(B57,'Analyst Report'!$A:$I,7,FALSE))= 0,"",VLOOKUP(B57,'Analyst Report'!$A:$I,7,FALSE))</f>
        <v/>
      </c>
      <c r="P57" s="267">
        <f t="shared" si="0"/>
        <v>0</v>
      </c>
      <c r="Q57" s="267">
        <v>20</v>
      </c>
      <c r="R57" s="267">
        <f>IF(LEN(VLOOKUP(B57,'Analyst Report'!$A$31:$I$288,9,FALSE))=0,VLOOKUP(B57,'Analyst Report'!$A$31:$I$288,8,FALSE),VLOOKUP(B57,'Analyst Report'!$A$31:$I$288,9,FALSE))</f>
        <v>15</v>
      </c>
      <c r="S57" s="267">
        <f t="shared" si="1"/>
        <v>0</v>
      </c>
      <c r="T57" s="267">
        <f t="shared" si="2"/>
        <v>0</v>
      </c>
      <c r="U57" s="164" t="s">
        <v>115</v>
      </c>
      <c r="V57" s="164" t="s">
        <v>115</v>
      </c>
      <c r="W57" s="164" t="s">
        <v>115</v>
      </c>
      <c r="X57" s="164" t="s">
        <v>115</v>
      </c>
      <c r="Y57" s="164" t="s">
        <v>115</v>
      </c>
      <c r="Z57" s="164" t="s">
        <v>115</v>
      </c>
      <c r="AA57" s="164" t="s">
        <v>115</v>
      </c>
      <c r="AB57" s="164" t="s">
        <v>115</v>
      </c>
    </row>
    <row r="58" spans="1:28" ht="150">
      <c r="A58" s="169">
        <f t="shared" si="3"/>
        <v>41</v>
      </c>
      <c r="B58" s="170" t="s">
        <v>176</v>
      </c>
      <c r="C58" s="170" t="s">
        <v>2517</v>
      </c>
      <c r="D58" s="170" t="str">
        <f>VLOOKUP(B58,'HECVAT - Full | Vendor Response'!A$4:D$320,4,TRUE)</f>
        <v>Weave Education has a Configuration Management policy and procedure, as well as a Change Management process. These encompass all system management events and configuration strategy.</v>
      </c>
      <c r="E58" s="265" t="s">
        <v>115</v>
      </c>
      <c r="F58" s="265" t="s">
        <v>115</v>
      </c>
      <c r="G58" s="265" t="s">
        <v>115</v>
      </c>
      <c r="H58" s="175" t="s">
        <v>2513</v>
      </c>
      <c r="I58" s="175" t="s">
        <v>2337</v>
      </c>
      <c r="J58" s="266" t="str">
        <f t="shared" si="4"/>
        <v>FALSE</v>
      </c>
      <c r="K58" s="173">
        <f t="shared" si="6"/>
        <v>0</v>
      </c>
      <c r="L58" s="266" t="s">
        <v>2514</v>
      </c>
      <c r="M58" s="267" t="s">
        <v>100</v>
      </c>
      <c r="N58" s="267">
        <f>VLOOKUP(B58,'HECVAT - Full | Vendor Response'!A:E,3,FALSE)</f>
        <v>0</v>
      </c>
      <c r="O58" s="267" t="str">
        <f>IF(LEN(VLOOKUP(B58,'Analyst Report'!$A:$I,7,FALSE))= 0,"",VLOOKUP(B58,'Analyst Report'!$A:$I,7,FALSE))</f>
        <v/>
      </c>
      <c r="P58" s="267">
        <f t="shared" si="0"/>
        <v>0</v>
      </c>
      <c r="Q58" s="267">
        <v>20</v>
      </c>
      <c r="R58" s="267">
        <f>IF(LEN(VLOOKUP(B58,'Analyst Report'!$A$31:$I$288,9,FALSE))=0,VLOOKUP(B58,'Analyst Report'!$A$31:$I$288,8,FALSE),VLOOKUP(B58,'Analyst Report'!$A$31:$I$288,9,FALSE))</f>
        <v>15</v>
      </c>
      <c r="S58" s="267">
        <f t="shared" si="1"/>
        <v>0</v>
      </c>
      <c r="T58" s="267">
        <f t="shared" si="2"/>
        <v>0</v>
      </c>
      <c r="U58" s="164" t="s">
        <v>115</v>
      </c>
      <c r="V58" s="164" t="s">
        <v>115</v>
      </c>
      <c r="W58" s="164" t="s">
        <v>115</v>
      </c>
      <c r="X58" s="164" t="s">
        <v>115</v>
      </c>
      <c r="Y58" s="164" t="s">
        <v>115</v>
      </c>
      <c r="Z58" s="164" t="s">
        <v>115</v>
      </c>
      <c r="AA58" s="164" t="s">
        <v>115</v>
      </c>
      <c r="AB58" s="164" t="s">
        <v>115</v>
      </c>
    </row>
    <row r="59" spans="1:28" ht="150">
      <c r="A59" s="169">
        <f t="shared" si="3"/>
        <v>42</v>
      </c>
      <c r="B59" s="170" t="s">
        <v>177</v>
      </c>
      <c r="C59" s="170" t="s">
        <v>2518</v>
      </c>
      <c r="D59" s="170" t="str">
        <f>VLOOKUP(B59,'HECVAT - Full | Vendor Response'!A$4:D$320,4,TRUE)</f>
        <v>Weave Education has a Configuration Management policy and procedure, as well as a Change Management process. These encompass all system management events and configuration strategy.</v>
      </c>
      <c r="E59" s="265" t="s">
        <v>115</v>
      </c>
      <c r="F59" s="265" t="s">
        <v>115</v>
      </c>
      <c r="G59" s="265" t="s">
        <v>115</v>
      </c>
      <c r="H59" s="175" t="s">
        <v>2513</v>
      </c>
      <c r="I59" s="175" t="s">
        <v>2337</v>
      </c>
      <c r="J59" s="266" t="str">
        <f t="shared" si="4"/>
        <v>FALSE</v>
      </c>
      <c r="K59" s="173">
        <f t="shared" si="6"/>
        <v>0</v>
      </c>
      <c r="L59" s="266" t="s">
        <v>2514</v>
      </c>
      <c r="M59" s="267" t="s">
        <v>102</v>
      </c>
      <c r="N59" s="267">
        <f>VLOOKUP(B59,'HECVAT - Full | Vendor Response'!A:E,3,FALSE)</f>
        <v>0</v>
      </c>
      <c r="O59" s="267" t="str">
        <f>IF(LEN(VLOOKUP(B59,'Analyst Report'!$A:$I,7,FALSE))= 0,"",VLOOKUP(B59,'Analyst Report'!$A:$I,7,FALSE))</f>
        <v/>
      </c>
      <c r="P59" s="267">
        <f t="shared" si="0"/>
        <v>0</v>
      </c>
      <c r="Q59" s="267">
        <v>25</v>
      </c>
      <c r="R59" s="267">
        <f>IF(LEN(VLOOKUP(B59,'Analyst Report'!$A$31:$I$288,9,FALSE))=0,VLOOKUP(B59,'Analyst Report'!$A$31:$I$288,8,FALSE),VLOOKUP(B59,'Analyst Report'!$A$31:$I$288,9,FALSE))</f>
        <v>15</v>
      </c>
      <c r="S59" s="267">
        <f t="shared" si="1"/>
        <v>0</v>
      </c>
      <c r="T59" s="267">
        <f t="shared" si="2"/>
        <v>0</v>
      </c>
      <c r="U59" s="164" t="s">
        <v>115</v>
      </c>
      <c r="V59" s="164" t="s">
        <v>115</v>
      </c>
      <c r="W59" s="164" t="s">
        <v>115</v>
      </c>
      <c r="X59" s="164" t="s">
        <v>115</v>
      </c>
      <c r="Y59" s="164" t="s">
        <v>115</v>
      </c>
      <c r="Z59" s="164" t="s">
        <v>115</v>
      </c>
      <c r="AA59" s="164" t="s">
        <v>115</v>
      </c>
      <c r="AB59" s="164" t="s">
        <v>115</v>
      </c>
    </row>
    <row r="60" spans="1:28" ht="150">
      <c r="A60" s="169">
        <f t="shared" si="3"/>
        <v>43</v>
      </c>
      <c r="B60" s="170" t="s">
        <v>178</v>
      </c>
      <c r="C60" s="170" t="s">
        <v>2519</v>
      </c>
      <c r="D60" s="170" t="str">
        <f>VLOOKUP(B60,'HECVAT - Full | Vendor Response'!A$4:D$320,4,TRUE)</f>
        <v>Weave Education has a Configuration Management policy and procedure, as well as a Change Management process. These encompass all system management events and configuration strategy.</v>
      </c>
      <c r="E60" s="265" t="s">
        <v>115</v>
      </c>
      <c r="F60" s="265" t="s">
        <v>2520</v>
      </c>
      <c r="G60" s="265" t="s">
        <v>115</v>
      </c>
      <c r="H60" s="175" t="s">
        <v>2513</v>
      </c>
      <c r="I60" s="175" t="s">
        <v>2337</v>
      </c>
      <c r="J60" s="266" t="str">
        <f t="shared" si="4"/>
        <v>FALSE</v>
      </c>
      <c r="K60" s="173">
        <f t="shared" si="6"/>
        <v>0</v>
      </c>
      <c r="L60" s="266" t="s">
        <v>2514</v>
      </c>
      <c r="M60" s="267" t="s">
        <v>100</v>
      </c>
      <c r="N60" s="267">
        <f>VLOOKUP(B60,'HECVAT - Full | Vendor Response'!A:E,3,FALSE)</f>
        <v>0</v>
      </c>
      <c r="O60" s="267" t="str">
        <f>IF(LEN(VLOOKUP(B60,'Analyst Report'!$A:$I,7,FALSE))= 0,"",VLOOKUP(B60,'Analyst Report'!$A:$I,7,FALSE))</f>
        <v/>
      </c>
      <c r="P60" s="267">
        <f t="shared" si="0"/>
        <v>0</v>
      </c>
      <c r="Q60" s="267">
        <v>20</v>
      </c>
      <c r="R60" s="267">
        <f>IF(LEN(VLOOKUP(B60,'Analyst Report'!$A$31:$I$288,9,FALSE))=0,VLOOKUP(B60,'Analyst Report'!$A$31:$I$288,8,FALSE),VLOOKUP(B60,'Analyst Report'!$A$31:$I$288,9,FALSE))</f>
        <v>15</v>
      </c>
      <c r="S60" s="267">
        <f t="shared" si="1"/>
        <v>0</v>
      </c>
      <c r="T60" s="267">
        <f t="shared" si="2"/>
        <v>0</v>
      </c>
      <c r="U60" s="164" t="s">
        <v>115</v>
      </c>
      <c r="V60" s="164" t="s">
        <v>115</v>
      </c>
      <c r="W60" s="164" t="s">
        <v>115</v>
      </c>
      <c r="X60" s="164" t="s">
        <v>115</v>
      </c>
      <c r="Y60" s="164" t="s">
        <v>115</v>
      </c>
      <c r="Z60" s="164" t="s">
        <v>115</v>
      </c>
      <c r="AA60" s="164" t="s">
        <v>115</v>
      </c>
      <c r="AB60" s="164" t="s">
        <v>115</v>
      </c>
    </row>
    <row r="61" spans="1:28" ht="150">
      <c r="A61" s="169">
        <f t="shared" si="3"/>
        <v>44</v>
      </c>
      <c r="B61" s="170" t="s">
        <v>179</v>
      </c>
      <c r="C61" s="170" t="s">
        <v>2521</v>
      </c>
      <c r="D61" s="170" t="str">
        <f>VLOOKUP(B61,'HECVAT - Full | Vendor Response'!A$4:D$320,4,TRUE)</f>
        <v>Weave Education has a Configuration Management policy and procedure, as well as a Change Management process. These encompass all system management events and configuration strategy.</v>
      </c>
      <c r="E61" s="265" t="s">
        <v>115</v>
      </c>
      <c r="F61" s="265" t="s">
        <v>115</v>
      </c>
      <c r="G61" s="265" t="s">
        <v>115</v>
      </c>
      <c r="H61" s="175" t="s">
        <v>2513</v>
      </c>
      <c r="I61" s="175" t="s">
        <v>2337</v>
      </c>
      <c r="J61" s="266" t="str">
        <f t="shared" si="4"/>
        <v>FALSE</v>
      </c>
      <c r="K61" s="173">
        <f t="shared" si="6"/>
        <v>0</v>
      </c>
      <c r="L61" s="266" t="s">
        <v>2514</v>
      </c>
      <c r="M61" s="267" t="s">
        <v>102</v>
      </c>
      <c r="N61" s="267">
        <f>VLOOKUP(B61,'HECVAT - Full | Vendor Response'!A:E,3,FALSE)</f>
        <v>0</v>
      </c>
      <c r="O61" s="267" t="str">
        <f>IF(LEN(VLOOKUP(B61,'Analyst Report'!$A:$I,7,FALSE))= 0,"",VLOOKUP(B61,'Analyst Report'!$A:$I,7,FALSE))</f>
        <v/>
      </c>
      <c r="P61" s="267">
        <f t="shared" si="0"/>
        <v>0</v>
      </c>
      <c r="Q61" s="267">
        <v>25</v>
      </c>
      <c r="R61" s="267">
        <f>IF(LEN(VLOOKUP(B61,'Analyst Report'!$A$31:$I$288,9,FALSE))=0,VLOOKUP(B61,'Analyst Report'!$A$31:$I$288,8,FALSE),VLOOKUP(B61,'Analyst Report'!$A$31:$I$288,9,FALSE))</f>
        <v>15</v>
      </c>
      <c r="S61" s="267">
        <f t="shared" si="1"/>
        <v>0</v>
      </c>
      <c r="T61" s="267">
        <f t="shared" si="2"/>
        <v>0</v>
      </c>
      <c r="U61" s="164" t="s">
        <v>115</v>
      </c>
      <c r="V61" s="164" t="s">
        <v>115</v>
      </c>
      <c r="W61" s="164" t="s">
        <v>115</v>
      </c>
      <c r="X61" s="164" t="s">
        <v>115</v>
      </c>
      <c r="Y61" s="164" t="s">
        <v>115</v>
      </c>
      <c r="Z61" s="164" t="s">
        <v>115</v>
      </c>
      <c r="AA61" s="164" t="s">
        <v>115</v>
      </c>
      <c r="AB61" s="164" t="s">
        <v>115</v>
      </c>
    </row>
    <row r="62" spans="1:28" ht="150">
      <c r="A62" s="169">
        <f t="shared" si="3"/>
        <v>45</v>
      </c>
      <c r="B62" s="170" t="s">
        <v>180</v>
      </c>
      <c r="C62" s="170" t="s">
        <v>2522</v>
      </c>
      <c r="D62" s="170" t="str">
        <f>VLOOKUP(B62,'HECVAT - Full | Vendor Response'!A$4:D$320,4,TRUE)</f>
        <v>Weave Education has a Configuration Management policy and procedure, as well as a Change Management process. These encompass all system management events and configuration strategy.</v>
      </c>
      <c r="E62" s="265" t="s">
        <v>115</v>
      </c>
      <c r="F62" s="265" t="s">
        <v>2523</v>
      </c>
      <c r="G62" s="265" t="s">
        <v>115</v>
      </c>
      <c r="H62" s="175" t="s">
        <v>2513</v>
      </c>
      <c r="I62" s="175" t="s">
        <v>2337</v>
      </c>
      <c r="J62" s="266" t="str">
        <f t="shared" si="4"/>
        <v>FALSE</v>
      </c>
      <c r="K62" s="173">
        <f t="shared" si="6"/>
        <v>0</v>
      </c>
      <c r="L62" s="266" t="s">
        <v>2514</v>
      </c>
      <c r="M62" s="267" t="s">
        <v>100</v>
      </c>
      <c r="N62" s="267">
        <f>VLOOKUP(B62,'HECVAT - Full | Vendor Response'!A:E,3,FALSE)</f>
        <v>0</v>
      </c>
      <c r="O62" s="267" t="str">
        <f>IF(LEN(VLOOKUP(B62,'Analyst Report'!$A:$I,7,FALSE))= 0,"",VLOOKUP(B62,'Analyst Report'!$A:$I,7,FALSE))</f>
        <v/>
      </c>
      <c r="P62" s="267">
        <f t="shared" si="0"/>
        <v>0</v>
      </c>
      <c r="Q62" s="267">
        <v>20</v>
      </c>
      <c r="R62" s="267">
        <f>IF(LEN(VLOOKUP(B62,'Analyst Report'!$A$31:$I$288,9,FALSE))=0,VLOOKUP(B62,'Analyst Report'!$A$31:$I$288,8,FALSE),VLOOKUP(B62,'Analyst Report'!$A$31:$I$288,9,FALSE))</f>
        <v>15</v>
      </c>
      <c r="S62" s="267">
        <f t="shared" si="1"/>
        <v>0</v>
      </c>
      <c r="T62" s="267">
        <f t="shared" si="2"/>
        <v>0</v>
      </c>
      <c r="U62" s="164" t="s">
        <v>115</v>
      </c>
      <c r="V62" s="164" t="s">
        <v>115</v>
      </c>
      <c r="W62" s="164" t="s">
        <v>115</v>
      </c>
      <c r="X62" s="164" t="s">
        <v>115</v>
      </c>
      <c r="Y62" s="164" t="s">
        <v>115</v>
      </c>
      <c r="Z62" s="164" t="s">
        <v>115</v>
      </c>
      <c r="AA62" s="164" t="s">
        <v>115</v>
      </c>
      <c r="AB62" s="164" t="s">
        <v>115</v>
      </c>
    </row>
    <row r="63" spans="1:28" ht="150">
      <c r="A63" s="169">
        <f t="shared" si="3"/>
        <v>46</v>
      </c>
      <c r="B63" s="170" t="s">
        <v>181</v>
      </c>
      <c r="C63" s="170" t="s">
        <v>2524</v>
      </c>
      <c r="D63" s="170" t="str">
        <f>VLOOKUP(B63,'HECVAT - Full | Vendor Response'!A$4:D$320,4,TRUE)</f>
        <v>Weave Education has a Configuration Management policy and procedure, as well as a Change Management process. These encompass all system management events and configuration strategy.</v>
      </c>
      <c r="E63" s="265" t="s">
        <v>115</v>
      </c>
      <c r="F63" s="265" t="s">
        <v>115</v>
      </c>
      <c r="G63" s="265" t="s">
        <v>115</v>
      </c>
      <c r="H63" s="175" t="s">
        <v>2513</v>
      </c>
      <c r="I63" s="175" t="s">
        <v>2337</v>
      </c>
      <c r="J63" s="266" t="str">
        <f t="shared" si="4"/>
        <v>FALSE</v>
      </c>
      <c r="K63" s="173">
        <f t="shared" si="6"/>
        <v>0</v>
      </c>
      <c r="L63" s="266" t="s">
        <v>2514</v>
      </c>
      <c r="M63" s="267" t="s">
        <v>102</v>
      </c>
      <c r="N63" s="267">
        <f>VLOOKUP(B63,'HECVAT - Full | Vendor Response'!A:E,3,FALSE)</f>
        <v>0</v>
      </c>
      <c r="O63" s="267" t="str">
        <f>IF(LEN(VLOOKUP(B63,'Analyst Report'!$A:$I,7,FALSE))= 0,"",VLOOKUP(B63,'Analyst Report'!$A:$I,7,FALSE))</f>
        <v/>
      </c>
      <c r="P63" s="267">
        <f t="shared" si="0"/>
        <v>0</v>
      </c>
      <c r="Q63" s="267">
        <v>25</v>
      </c>
      <c r="R63" s="267">
        <f>IF(LEN(VLOOKUP(B63,'Analyst Report'!$A$31:$I$288,9,FALSE))=0,VLOOKUP(B63,'Analyst Report'!$A$31:$I$288,8,FALSE),VLOOKUP(B63,'Analyst Report'!$A$31:$I$288,9,FALSE))</f>
        <v>15</v>
      </c>
      <c r="S63" s="267">
        <f t="shared" si="1"/>
        <v>0</v>
      </c>
      <c r="T63" s="267">
        <f t="shared" si="2"/>
        <v>0</v>
      </c>
      <c r="U63" s="164" t="s">
        <v>115</v>
      </c>
      <c r="V63" s="164" t="s">
        <v>115</v>
      </c>
      <c r="W63" s="164" t="s">
        <v>115</v>
      </c>
      <c r="X63" s="164" t="s">
        <v>115</v>
      </c>
      <c r="Y63" s="164" t="s">
        <v>115</v>
      </c>
      <c r="Z63" s="164" t="s">
        <v>115</v>
      </c>
      <c r="AA63" s="164" t="s">
        <v>115</v>
      </c>
      <c r="AB63" s="164" t="s">
        <v>115</v>
      </c>
    </row>
    <row r="64" spans="1:28" ht="210">
      <c r="A64" s="169">
        <f t="shared" si="3"/>
        <v>47</v>
      </c>
      <c r="B64" s="176" t="s">
        <v>183</v>
      </c>
      <c r="C64" s="176" t="s">
        <v>2525</v>
      </c>
      <c r="D64" s="170" t="str">
        <f>VLOOKUP(B64,'HECVAT - Full | Vendor Response'!A$4:D$320,4,FALSE)</f>
        <v>Weave suppports Single Sign On via SAML, LDAP, Shibboleth, and OAuth for end-users. Role-Based Access Control is based on internal policies and procedures.</v>
      </c>
      <c r="E64" s="165" t="s">
        <v>2526</v>
      </c>
      <c r="F64" s="165" t="s">
        <v>2527</v>
      </c>
      <c r="G64" s="165" t="s">
        <v>2528</v>
      </c>
      <c r="H64" s="177" t="s">
        <v>2529</v>
      </c>
      <c r="I64" s="177" t="s">
        <v>2530</v>
      </c>
      <c r="J64" s="266" t="str">
        <f t="shared" si="4"/>
        <v>TRUE</v>
      </c>
      <c r="K64" s="173">
        <v>1</v>
      </c>
      <c r="L64" s="266" t="s">
        <v>182</v>
      </c>
      <c r="M64" s="267" t="s">
        <v>102</v>
      </c>
      <c r="N64" s="267" t="str">
        <f>VLOOKUP(B64,'HECVAT - Full | Vendor Response'!A:E,3,FALSE)</f>
        <v>Yes</v>
      </c>
      <c r="O64" s="267" t="str">
        <f>IF(LEN(VLOOKUP(B64,'Analyst Report'!$A:$I,7,FALSE))= 0,"",VLOOKUP(B64,'Analyst Report'!$A:$I,7,FALSE))</f>
        <v/>
      </c>
      <c r="P64" s="267">
        <f t="shared" si="0"/>
        <v>1</v>
      </c>
      <c r="Q64" s="267">
        <v>25</v>
      </c>
      <c r="R64" s="267">
        <f>IF(LEN(VLOOKUP(B64,'Analyst Report'!$A$31:$I$288,9,FALSE))=0,VLOOKUP(B64,'Analyst Report'!$A$31:$I$288,8,FALSE),VLOOKUP(B64,'Analyst Report'!$A$31:$I$288,9,FALSE))</f>
        <v>25</v>
      </c>
      <c r="S64" s="267">
        <f t="shared" si="1"/>
        <v>25</v>
      </c>
      <c r="T64" s="267">
        <f t="shared" si="2"/>
        <v>25</v>
      </c>
      <c r="U64" s="164">
        <f>IF(LEN(VLOOKUP(B64,'Analyst Report'!$A$31:$I$288,8,FALSE))= 0,"",VLOOKUP(B64,'Analyst Report'!$A$31:$I$288,9,FALSE))</f>
        <v>0</v>
      </c>
      <c r="V64" s="164" t="s">
        <v>115</v>
      </c>
      <c r="W64" s="164" t="s">
        <v>115</v>
      </c>
      <c r="X64" s="164" t="s">
        <v>115</v>
      </c>
      <c r="Y64" s="164" t="s">
        <v>115</v>
      </c>
      <c r="Z64" s="164" t="s">
        <v>115</v>
      </c>
      <c r="AA64" s="164" t="s">
        <v>115</v>
      </c>
      <c r="AB64" s="164" t="s">
        <v>115</v>
      </c>
    </row>
    <row r="65" spans="1:28" ht="225">
      <c r="A65" s="169">
        <f t="shared" si="3"/>
        <v>48</v>
      </c>
      <c r="B65" s="176" t="s">
        <v>185</v>
      </c>
      <c r="C65" s="176" t="s">
        <v>2531</v>
      </c>
      <c r="D65" s="170" t="str">
        <f>VLOOKUP(B65,'HECVAT - Full | Vendor Response'!A$4:D$320,4,FALSE)</f>
        <v>Weave uses AWS IAM for system admin access control. All access control policies are role-based and tracked on the Access Control Matrix.</v>
      </c>
      <c r="E65" s="165" t="s">
        <v>2532</v>
      </c>
      <c r="F65" s="165" t="s">
        <v>2533</v>
      </c>
      <c r="G65" s="165" t="s">
        <v>115</v>
      </c>
      <c r="H65" s="177" t="s">
        <v>2534</v>
      </c>
      <c r="I65" s="177" t="s">
        <v>2535</v>
      </c>
      <c r="J65" s="266" t="str">
        <f t="shared" si="4"/>
        <v>FALSE</v>
      </c>
      <c r="K65" s="173">
        <v>1</v>
      </c>
      <c r="L65" s="266" t="s">
        <v>182</v>
      </c>
      <c r="M65" s="267" t="s">
        <v>102</v>
      </c>
      <c r="N65" s="267" t="str">
        <f>VLOOKUP(B65,'HECVAT - Full | Vendor Response'!A:E,3,FALSE)</f>
        <v>Yes</v>
      </c>
      <c r="O65" s="267" t="str">
        <f>IF(LEN(VLOOKUP(B65,'Analyst Report'!$A:$I,7,FALSE))= 0,"",VLOOKUP(B65,'Analyst Report'!$A:$I,7,FALSE))</f>
        <v/>
      </c>
      <c r="P65" s="267">
        <f t="shared" si="0"/>
        <v>1</v>
      </c>
      <c r="Q65" s="267">
        <v>20</v>
      </c>
      <c r="R65" s="267">
        <f>IF(LEN(VLOOKUP(B65,'Analyst Report'!$A$31:$I$288,9,FALSE))=0,VLOOKUP(B65,'Analyst Report'!$A$31:$I$288,8,FALSE),VLOOKUP(B65,'Analyst Report'!$A$31:$I$288,9,FALSE))</f>
        <v>20</v>
      </c>
      <c r="S65" s="267">
        <f t="shared" si="1"/>
        <v>20</v>
      </c>
      <c r="T65" s="267">
        <f t="shared" si="2"/>
        <v>20</v>
      </c>
      <c r="U65" s="164" t="s">
        <v>115</v>
      </c>
      <c r="V65" s="164" t="s">
        <v>115</v>
      </c>
      <c r="W65" s="164" t="s">
        <v>115</v>
      </c>
      <c r="X65" s="164" t="s">
        <v>115</v>
      </c>
      <c r="Y65" s="164" t="s">
        <v>115</v>
      </c>
      <c r="Z65" s="164" t="s">
        <v>115</v>
      </c>
      <c r="AA65" s="164" t="s">
        <v>115</v>
      </c>
      <c r="AB65" s="164" t="s">
        <v>115</v>
      </c>
    </row>
    <row r="66" spans="1:28" ht="195">
      <c r="A66" s="169">
        <f t="shared" si="3"/>
        <v>49</v>
      </c>
      <c r="B66" s="176" t="s">
        <v>187</v>
      </c>
      <c r="C66" s="170" t="s">
        <v>2536</v>
      </c>
      <c r="D66" s="170" t="str">
        <f>VLOOKUP(B66,'HECVAT - Full | Vendor Response'!A$4:D$320,4,FALSE)</f>
        <v>All data inputs are validated against system rules and if an error is found, the user is presented with an error message explaining how to remediate the error.</v>
      </c>
      <c r="E66" s="165" t="s">
        <v>115</v>
      </c>
      <c r="F66" s="165" t="s">
        <v>2537</v>
      </c>
      <c r="G66" s="165" t="s">
        <v>2538</v>
      </c>
      <c r="H66" s="177" t="s">
        <v>2539</v>
      </c>
      <c r="I66" s="177" t="s">
        <v>2540</v>
      </c>
      <c r="J66" s="266" t="str">
        <f t="shared" si="4"/>
        <v>FALSE</v>
      </c>
      <c r="K66" s="173">
        <v>1</v>
      </c>
      <c r="L66" s="266" t="s">
        <v>182</v>
      </c>
      <c r="M66" s="267" t="s">
        <v>102</v>
      </c>
      <c r="N66" s="267" t="str">
        <f>VLOOKUP(B66,'HECVAT - Full | Vendor Response'!A:E,3,FALSE)</f>
        <v>Yes</v>
      </c>
      <c r="O66" s="267" t="str">
        <f>IF(LEN(VLOOKUP(B66,'Analyst Report'!$A:$I,7,FALSE))= 0,"",VLOOKUP(B66,'Analyst Report'!$A:$I,7,FALSE))</f>
        <v/>
      </c>
      <c r="P66" s="267">
        <f t="shared" si="0"/>
        <v>1</v>
      </c>
      <c r="Q66" s="267">
        <v>20</v>
      </c>
      <c r="R66" s="267">
        <f>IF(LEN(VLOOKUP(B66,'Analyst Report'!$A$31:$I$288,9,FALSE))=0,VLOOKUP(B66,'Analyst Report'!$A$31:$I$288,8,FALSE),VLOOKUP(B66,'Analyst Report'!$A$31:$I$288,9,FALSE))</f>
        <v>20</v>
      </c>
      <c r="S66" s="267">
        <f t="shared" si="1"/>
        <v>20</v>
      </c>
      <c r="T66" s="267">
        <f t="shared" si="2"/>
        <v>20</v>
      </c>
      <c r="U66" s="164" t="s">
        <v>115</v>
      </c>
      <c r="V66" s="164" t="s">
        <v>115</v>
      </c>
      <c r="W66" s="164" t="s">
        <v>115</v>
      </c>
      <c r="X66" s="164" t="s">
        <v>115</v>
      </c>
      <c r="Y66" s="164" t="s">
        <v>115</v>
      </c>
      <c r="Z66" s="164" t="s">
        <v>115</v>
      </c>
      <c r="AA66" s="164" t="s">
        <v>115</v>
      </c>
      <c r="AB66" s="164" t="s">
        <v>115</v>
      </c>
    </row>
    <row r="67" spans="1:28" ht="210">
      <c r="A67" s="169">
        <f t="shared" si="3"/>
        <v>50</v>
      </c>
      <c r="B67" s="176" t="s">
        <v>189</v>
      </c>
      <c r="C67" s="170" t="s">
        <v>2541</v>
      </c>
      <c r="D67" s="170" t="str">
        <f>VLOOKUP(B67,'HECVAT - Full | Vendor Response'!A$4:D$320,4,FALSE)</f>
        <v>Weave uses AWS Web Application Firewall (WAF)</v>
      </c>
      <c r="E67" s="165" t="s">
        <v>115</v>
      </c>
      <c r="F67" s="165" t="s">
        <v>2542</v>
      </c>
      <c r="G67" s="165" t="s">
        <v>2543</v>
      </c>
      <c r="H67" s="177" t="s">
        <v>2544</v>
      </c>
      <c r="I67" s="177" t="s">
        <v>2545</v>
      </c>
      <c r="J67" s="266" t="str">
        <f t="shared" si="4"/>
        <v>TRUE</v>
      </c>
      <c r="K67" s="173">
        <v>1</v>
      </c>
      <c r="L67" s="266" t="s">
        <v>182</v>
      </c>
      <c r="M67" s="267" t="s">
        <v>102</v>
      </c>
      <c r="N67" s="267" t="str">
        <f>VLOOKUP(B67,'HECVAT - Full | Vendor Response'!A:E,3,FALSE)</f>
        <v>Yes</v>
      </c>
      <c r="O67" s="267" t="str">
        <f>IF(LEN(VLOOKUP(B67,'Analyst Report'!$A:$I,7,FALSE))= 0,"",VLOOKUP(B67,'Analyst Report'!$A:$I,7,FALSE))</f>
        <v/>
      </c>
      <c r="P67" s="267">
        <f t="shared" si="0"/>
        <v>1</v>
      </c>
      <c r="Q67" s="267">
        <v>25</v>
      </c>
      <c r="R67" s="267">
        <f>IF(LEN(VLOOKUP(B67,'Analyst Report'!$A$31:$I$288,9,FALSE))=0,VLOOKUP(B67,'Analyst Report'!$A$31:$I$288,8,FALSE),VLOOKUP(B67,'Analyst Report'!$A$31:$I$288,9,FALSE))</f>
        <v>25</v>
      </c>
      <c r="S67" s="267">
        <f t="shared" si="1"/>
        <v>25</v>
      </c>
      <c r="T67" s="267">
        <f t="shared" si="2"/>
        <v>25</v>
      </c>
      <c r="U67" s="164" t="s">
        <v>115</v>
      </c>
      <c r="V67" s="164" t="s">
        <v>115</v>
      </c>
      <c r="W67" s="164" t="s">
        <v>115</v>
      </c>
      <c r="X67" s="164" t="s">
        <v>115</v>
      </c>
      <c r="Y67" s="164" t="s">
        <v>115</v>
      </c>
      <c r="Z67" s="164" t="s">
        <v>115</v>
      </c>
      <c r="AA67" s="164" t="s">
        <v>115</v>
      </c>
      <c r="AB67" s="164" t="s">
        <v>115</v>
      </c>
    </row>
    <row r="68" spans="1:28" ht="225">
      <c r="A68" s="169">
        <f t="shared" si="3"/>
        <v>51</v>
      </c>
      <c r="B68" s="176" t="s">
        <v>191</v>
      </c>
      <c r="C68" s="170" t="s">
        <v>2546</v>
      </c>
      <c r="D68" s="170">
        <f>VLOOKUP(B68,'HECVAT - Full | Vendor Response'!A$4:D$320,4,TRUE)</f>
        <v>0</v>
      </c>
      <c r="E68" s="165" t="s">
        <v>2547</v>
      </c>
      <c r="F68" s="165" t="s">
        <v>2352</v>
      </c>
      <c r="G68" s="165" t="s">
        <v>2548</v>
      </c>
      <c r="H68" s="177" t="s">
        <v>2549</v>
      </c>
      <c r="I68" s="177" t="s">
        <v>2550</v>
      </c>
      <c r="J68" s="266" t="str">
        <f t="shared" si="4"/>
        <v>FALSE</v>
      </c>
      <c r="K68" s="173">
        <v>1</v>
      </c>
      <c r="L68" s="266" t="s">
        <v>182</v>
      </c>
      <c r="M68" s="267" t="s">
        <v>102</v>
      </c>
      <c r="N68" s="267" t="str">
        <f>VLOOKUP(B68,'HECVAT - Full | Vendor Response'!A:E,3,FALSE)</f>
        <v>Yes</v>
      </c>
      <c r="O68" s="267" t="str">
        <f>IF(LEN(VLOOKUP(B68,'Analyst Report'!$A:$I,7,FALSE))= 0,"",VLOOKUP(B68,'Analyst Report'!$A:$I,7,FALSE))</f>
        <v/>
      </c>
      <c r="P68" s="267">
        <f t="shared" si="0"/>
        <v>1</v>
      </c>
      <c r="Q68" s="267">
        <v>20</v>
      </c>
      <c r="R68" s="267">
        <f>IF(LEN(VLOOKUP(B68,'Analyst Report'!$A$31:$I$288,9,FALSE))=0,VLOOKUP(B68,'Analyst Report'!$A$31:$I$288,8,FALSE),VLOOKUP(B68,'Analyst Report'!$A$31:$I$288,9,FALSE))</f>
        <v>20</v>
      </c>
      <c r="S68" s="267">
        <f t="shared" si="1"/>
        <v>20</v>
      </c>
      <c r="T68" s="267">
        <f t="shared" si="2"/>
        <v>20</v>
      </c>
      <c r="U68" s="164" t="s">
        <v>115</v>
      </c>
      <c r="V68" s="164" t="s">
        <v>115</v>
      </c>
      <c r="W68" s="164" t="s">
        <v>115</v>
      </c>
      <c r="X68" s="164" t="s">
        <v>115</v>
      </c>
      <c r="Y68" s="164" t="s">
        <v>115</v>
      </c>
      <c r="Z68" s="164" t="s">
        <v>115</v>
      </c>
      <c r="AA68" s="164" t="s">
        <v>115</v>
      </c>
      <c r="AB68" s="164" t="s">
        <v>115</v>
      </c>
    </row>
    <row r="69" spans="1:28" ht="165">
      <c r="A69" s="169">
        <f t="shared" si="3"/>
        <v>52</v>
      </c>
      <c r="B69" s="176" t="s">
        <v>193</v>
      </c>
      <c r="C69" s="170" t="s">
        <v>2551</v>
      </c>
      <c r="D69" s="170">
        <f>VLOOKUP(B69,'HECVAT - Full | Vendor Response'!A$4:D$320,4,TRUE)</f>
        <v>0</v>
      </c>
      <c r="E69" s="165" t="s">
        <v>2552</v>
      </c>
      <c r="F69" s="165" t="s">
        <v>2553</v>
      </c>
      <c r="G69" s="165" t="s">
        <v>2554</v>
      </c>
      <c r="H69" s="181" t="s">
        <v>2555</v>
      </c>
      <c r="I69" s="181" t="s">
        <v>2556</v>
      </c>
      <c r="J69" s="266" t="str">
        <f t="shared" si="4"/>
        <v>TRUE</v>
      </c>
      <c r="K69" s="173">
        <v>1</v>
      </c>
      <c r="L69" s="266" t="s">
        <v>182</v>
      </c>
      <c r="M69" s="267" t="s">
        <v>102</v>
      </c>
      <c r="N69" s="267" t="str">
        <f>VLOOKUP(B69,'HECVAT - Full | Vendor Response'!A:E,3,FALSE)</f>
        <v>Yes</v>
      </c>
      <c r="O69" s="267" t="str">
        <f>IF(LEN(VLOOKUP(B69,'Analyst Report'!$A:$I,7,FALSE))= 0,"",VLOOKUP(B69,'Analyst Report'!$A:$I,7,FALSE))</f>
        <v/>
      </c>
      <c r="P69" s="267">
        <f t="shared" si="0"/>
        <v>1</v>
      </c>
      <c r="Q69" s="267">
        <v>25</v>
      </c>
      <c r="R69" s="267">
        <f>IF(LEN(VLOOKUP(B69,'Analyst Report'!$A$31:$I$288,9,FALSE))=0,VLOOKUP(B69,'Analyst Report'!$A$31:$I$288,8,FALSE),VLOOKUP(B69,'Analyst Report'!$A$31:$I$288,9,FALSE))</f>
        <v>25</v>
      </c>
      <c r="S69" s="267">
        <f t="shared" si="1"/>
        <v>25</v>
      </c>
      <c r="T69" s="267">
        <f t="shared" si="2"/>
        <v>25</v>
      </c>
      <c r="U69" s="164" t="s">
        <v>115</v>
      </c>
      <c r="V69" s="164" t="s">
        <v>115</v>
      </c>
      <c r="W69" s="164" t="s">
        <v>115</v>
      </c>
      <c r="X69" s="164" t="s">
        <v>115</v>
      </c>
      <c r="Y69" s="164" t="s">
        <v>115</v>
      </c>
      <c r="Z69" s="164" t="s">
        <v>115</v>
      </c>
      <c r="AA69" s="164" t="s">
        <v>115</v>
      </c>
      <c r="AB69" s="164" t="s">
        <v>115</v>
      </c>
    </row>
    <row r="70" spans="1:28" ht="120">
      <c r="A70" s="169">
        <f t="shared" si="3"/>
        <v>53</v>
      </c>
      <c r="B70" s="176" t="s">
        <v>195</v>
      </c>
      <c r="C70" s="170" t="s">
        <v>2557</v>
      </c>
      <c r="D70" s="170">
        <f>VLOOKUP(B70,'HECVAT - Full | Vendor Response'!A$4:D$320,4,TRUE)</f>
        <v>0</v>
      </c>
      <c r="E70" s="187" t="s">
        <v>2558</v>
      </c>
      <c r="F70" s="187" t="s">
        <v>2559</v>
      </c>
      <c r="G70" s="187" t="s">
        <v>2560</v>
      </c>
      <c r="H70" s="181" t="s">
        <v>2561</v>
      </c>
      <c r="I70" s="181" t="s">
        <v>2562</v>
      </c>
      <c r="J70" s="266" t="str">
        <f t="shared" si="4"/>
        <v>FALSE</v>
      </c>
      <c r="K70" s="173">
        <f>IF((N70="N/A"),0,1)</f>
        <v>0</v>
      </c>
      <c r="L70" s="266" t="s">
        <v>182</v>
      </c>
      <c r="M70" s="267" t="s">
        <v>102</v>
      </c>
      <c r="N70" s="267" t="str">
        <f>VLOOKUP(B70,'HECVAT - Full | Vendor Response'!A:E,3,FALSE)</f>
        <v>N/A</v>
      </c>
      <c r="O70" s="267" t="str">
        <f>IF(LEN(VLOOKUP(B70,'Analyst Report'!$A:$I,7,FALSE))= 0,"",VLOOKUP(B70,'Analyst Report'!$A:$I,7,FALSE))</f>
        <v/>
      </c>
      <c r="P70" s="267">
        <f t="shared" si="0"/>
        <v>0</v>
      </c>
      <c r="Q70" s="267">
        <v>15</v>
      </c>
      <c r="R70" s="267">
        <f>IF(LEN(VLOOKUP(B70,'Analyst Report'!$A$31:$I$288,9,FALSE))=0,VLOOKUP(B70,'Analyst Report'!$A$31:$I$288,8,FALSE),VLOOKUP(B70,'Analyst Report'!$A$31:$I$288,9,FALSE))</f>
        <v>15</v>
      </c>
      <c r="S70" s="267">
        <f t="shared" si="1"/>
        <v>0</v>
      </c>
      <c r="T70" s="267">
        <f t="shared" si="2"/>
        <v>0</v>
      </c>
      <c r="U70" s="164" t="s">
        <v>115</v>
      </c>
      <c r="V70" s="164" t="s">
        <v>115</v>
      </c>
      <c r="W70" s="164" t="s">
        <v>115</v>
      </c>
      <c r="X70" s="164" t="s">
        <v>115</v>
      </c>
      <c r="Y70" s="164" t="s">
        <v>115</v>
      </c>
      <c r="Z70" s="164" t="s">
        <v>115</v>
      </c>
      <c r="AA70" s="164" t="s">
        <v>115</v>
      </c>
      <c r="AB70" s="164" t="s">
        <v>115</v>
      </c>
    </row>
    <row r="71" spans="1:28" ht="90">
      <c r="A71" s="169">
        <f t="shared" si="3"/>
        <v>54</v>
      </c>
      <c r="B71" s="176" t="s">
        <v>197</v>
      </c>
      <c r="C71" s="170" t="s">
        <v>2563</v>
      </c>
      <c r="D71" s="170">
        <f>VLOOKUP(B71,'HECVAT - Full | Vendor Response'!A$4:D$320,4,TRUE)</f>
        <v>0</v>
      </c>
      <c r="E71" s="187" t="s">
        <v>115</v>
      </c>
      <c r="F71" s="187" t="s">
        <v>2564</v>
      </c>
      <c r="G71" s="187" t="s">
        <v>2565</v>
      </c>
      <c r="H71" s="181" t="s">
        <v>2566</v>
      </c>
      <c r="I71" s="181" t="s">
        <v>2567</v>
      </c>
      <c r="J71" s="266" t="str">
        <f t="shared" si="4"/>
        <v>TRUE</v>
      </c>
      <c r="K71" s="173">
        <v>1</v>
      </c>
      <c r="L71" s="266" t="s">
        <v>182</v>
      </c>
      <c r="M71" s="267" t="s">
        <v>100</v>
      </c>
      <c r="N71" s="267" t="str">
        <f>VLOOKUP(B71,'HECVAT - Full | Vendor Response'!A:E,3,FALSE)</f>
        <v>No</v>
      </c>
      <c r="O71" s="267" t="str">
        <f>IF(LEN(VLOOKUP(B71,'Analyst Report'!$A:$I,7,FALSE))= 0,"",VLOOKUP(B71,'Analyst Report'!$A:$I,7,FALSE))</f>
        <v/>
      </c>
      <c r="P71" s="267">
        <f t="shared" si="0"/>
        <v>1</v>
      </c>
      <c r="Q71" s="267">
        <v>25</v>
      </c>
      <c r="R71" s="267">
        <f>IF(LEN(VLOOKUP(B71,'Analyst Report'!$A$31:$I$288,9,FALSE))=0,VLOOKUP(B71,'Analyst Report'!$A$31:$I$288,8,FALSE),VLOOKUP(B71,'Analyst Report'!$A$31:$I$288,9,FALSE))</f>
        <v>25</v>
      </c>
      <c r="S71" s="267">
        <f t="shared" si="1"/>
        <v>25</v>
      </c>
      <c r="T71" s="267">
        <f t="shared" si="2"/>
        <v>25</v>
      </c>
      <c r="U71" s="164" t="s">
        <v>115</v>
      </c>
      <c r="V71" s="164" t="s">
        <v>115</v>
      </c>
      <c r="W71" s="164" t="s">
        <v>115</v>
      </c>
      <c r="X71" s="164" t="s">
        <v>115</v>
      </c>
      <c r="Y71" s="164" t="s">
        <v>115</v>
      </c>
      <c r="Z71" s="164" t="s">
        <v>115</v>
      </c>
      <c r="AA71" s="164" t="s">
        <v>115</v>
      </c>
      <c r="AB71" s="164" t="s">
        <v>115</v>
      </c>
    </row>
    <row r="72" spans="1:28" ht="240">
      <c r="A72" s="169">
        <f t="shared" si="3"/>
        <v>55</v>
      </c>
      <c r="B72" s="176" t="s">
        <v>199</v>
      </c>
      <c r="C72" s="170" t="s">
        <v>2568</v>
      </c>
      <c r="D72" s="170">
        <f>VLOOKUP(B72,'HECVAT - Full | Vendor Response'!A$4:D$320,4,TRUE)</f>
        <v>0</v>
      </c>
      <c r="E72" s="187" t="s">
        <v>115</v>
      </c>
      <c r="F72" s="187" t="s">
        <v>2569</v>
      </c>
      <c r="G72" s="187" t="s">
        <v>2570</v>
      </c>
      <c r="H72" s="181" t="s">
        <v>2571</v>
      </c>
      <c r="I72" s="181" t="s">
        <v>2572</v>
      </c>
      <c r="J72" s="266" t="str">
        <f t="shared" si="4"/>
        <v>TRUE</v>
      </c>
      <c r="K72" s="173">
        <v>1</v>
      </c>
      <c r="L72" s="266" t="s">
        <v>182</v>
      </c>
      <c r="M72" s="267" t="s">
        <v>102</v>
      </c>
      <c r="N72" s="267" t="str">
        <f>VLOOKUP(B72,'HECVAT - Full | Vendor Response'!A:E,3,FALSE)</f>
        <v>Yes</v>
      </c>
      <c r="O72" s="267" t="str">
        <f>IF(LEN(VLOOKUP(B72,'Analyst Report'!$A:$I,7,FALSE))= 0,"",VLOOKUP(B72,'Analyst Report'!$A:$I,7,FALSE))</f>
        <v/>
      </c>
      <c r="P72" s="267">
        <f t="shared" si="0"/>
        <v>1</v>
      </c>
      <c r="Q72" s="267">
        <v>40</v>
      </c>
      <c r="R72" s="267">
        <f>IF(LEN(VLOOKUP(B72,'Analyst Report'!$A$31:$I$288,9,FALSE))=0,VLOOKUP(B72,'Analyst Report'!$A$31:$I$288,8,FALSE),VLOOKUP(B72,'Analyst Report'!$A$31:$I$288,9,FALSE))</f>
        <v>40</v>
      </c>
      <c r="S72" s="267">
        <f t="shared" si="1"/>
        <v>40</v>
      </c>
      <c r="T72" s="267">
        <f t="shared" si="2"/>
        <v>40</v>
      </c>
      <c r="U72" s="164" t="s">
        <v>115</v>
      </c>
      <c r="V72" s="164" t="s">
        <v>115</v>
      </c>
      <c r="W72" s="164" t="s">
        <v>115</v>
      </c>
      <c r="X72" s="164" t="s">
        <v>115</v>
      </c>
      <c r="Y72" s="164" t="s">
        <v>115</v>
      </c>
      <c r="Z72" s="164" t="s">
        <v>115</v>
      </c>
      <c r="AA72" s="164" t="s">
        <v>115</v>
      </c>
      <c r="AB72" s="164" t="s">
        <v>115</v>
      </c>
    </row>
    <row r="73" spans="1:28" ht="180">
      <c r="A73" s="169">
        <f t="shared" si="3"/>
        <v>56</v>
      </c>
      <c r="B73" s="176" t="s">
        <v>201</v>
      </c>
      <c r="C73" s="170" t="s">
        <v>2573</v>
      </c>
      <c r="D73" s="170">
        <f>VLOOKUP(B73,'HECVAT - Full | Vendor Response'!A$4:D$320,4,TRUE)</f>
        <v>0</v>
      </c>
      <c r="E73" s="187" t="s">
        <v>115</v>
      </c>
      <c r="F73" s="187" t="s">
        <v>2574</v>
      </c>
      <c r="G73" s="187" t="s">
        <v>2575</v>
      </c>
      <c r="H73" s="181" t="s">
        <v>2576</v>
      </c>
      <c r="I73" s="181" t="s">
        <v>2577</v>
      </c>
      <c r="J73" s="266" t="str">
        <f t="shared" si="4"/>
        <v>FALSE</v>
      </c>
      <c r="K73" s="173">
        <v>1</v>
      </c>
      <c r="L73" s="266" t="s">
        <v>182</v>
      </c>
      <c r="M73" s="267" t="s">
        <v>102</v>
      </c>
      <c r="N73" s="267" t="str">
        <f>VLOOKUP(B73,'HECVAT - Full | Vendor Response'!A:E,3,FALSE)</f>
        <v>Yes</v>
      </c>
      <c r="O73" s="267" t="str">
        <f>IF(LEN(VLOOKUP(B73,'Analyst Report'!$A:$I,7,FALSE))= 0,"",VLOOKUP(B73,'Analyst Report'!$A:$I,7,FALSE))</f>
        <v/>
      </c>
      <c r="P73" s="267">
        <f t="shared" si="0"/>
        <v>1</v>
      </c>
      <c r="Q73" s="267">
        <v>10</v>
      </c>
      <c r="R73" s="267">
        <f>IF(LEN(VLOOKUP(B73,'Analyst Report'!$A$31:$I$288,9,FALSE))=0,VLOOKUP(B73,'Analyst Report'!$A$31:$I$288,8,FALSE),VLOOKUP(B73,'Analyst Report'!$A$31:$I$288,9,FALSE))</f>
        <v>10</v>
      </c>
      <c r="S73" s="267">
        <f t="shared" si="1"/>
        <v>10</v>
      </c>
      <c r="T73" s="267">
        <f t="shared" si="2"/>
        <v>10</v>
      </c>
      <c r="U73" s="164" t="s">
        <v>115</v>
      </c>
      <c r="V73" s="164" t="s">
        <v>115</v>
      </c>
      <c r="W73" s="164" t="s">
        <v>115</v>
      </c>
      <c r="X73" s="164" t="s">
        <v>115</v>
      </c>
      <c r="Y73" s="164" t="s">
        <v>115</v>
      </c>
      <c r="Z73" s="164" t="s">
        <v>115</v>
      </c>
      <c r="AA73" s="164" t="s">
        <v>115</v>
      </c>
      <c r="AB73" s="164" t="s">
        <v>115</v>
      </c>
    </row>
    <row r="74" spans="1:28" ht="195">
      <c r="A74" s="169">
        <f t="shared" si="3"/>
        <v>57</v>
      </c>
      <c r="B74" s="176" t="s">
        <v>203</v>
      </c>
      <c r="C74" s="176" t="s">
        <v>2578</v>
      </c>
      <c r="D74" s="170">
        <f>VLOOKUP(B74,'HECVAT - Full | Vendor Response'!A$4:D$320,4,TRUE)</f>
        <v>0</v>
      </c>
      <c r="E74" s="187" t="s">
        <v>115</v>
      </c>
      <c r="F74" s="187" t="s">
        <v>2579</v>
      </c>
      <c r="G74" s="187" t="s">
        <v>2580</v>
      </c>
      <c r="H74" s="181" t="s">
        <v>2581</v>
      </c>
      <c r="I74" s="181" t="s">
        <v>2582</v>
      </c>
      <c r="J74" s="266" t="str">
        <f>IF(S74&gt;20,"TRUE","FALSE")</f>
        <v>FALSE</v>
      </c>
      <c r="K74" s="173">
        <v>1</v>
      </c>
      <c r="L74" s="266" t="s">
        <v>404</v>
      </c>
      <c r="M74" s="267" t="s">
        <v>102</v>
      </c>
      <c r="N74" s="267" t="str">
        <f>VLOOKUP(B74,'HECVAT - Full | Vendor Response'!A:E,3,FALSE)</f>
        <v>Yes</v>
      </c>
      <c r="O74" s="267" t="str">
        <f>IF(LEN(VLOOKUP(B74,'Analyst Report'!$A:$I,7,FALSE))= 0,"",VLOOKUP(B74,'Analyst Report'!$A:$I,7,FALSE))</f>
        <v/>
      </c>
      <c r="P74" s="267">
        <f>IF((O74=""),(IF(ISNUMBER(FIND(M74,N74)), 1, 0)),(IF(ISNUMBER(FIND(M74,O74)), 1, 0)))</f>
        <v>1</v>
      </c>
      <c r="Q74" s="267">
        <v>20</v>
      </c>
      <c r="R74" s="267">
        <f>IF(LEN(VLOOKUP(B74,'Analyst Report'!$A$31:$I$288,9,FALSE))=0,VLOOKUP(B74,'Analyst Report'!$A$31:$I$288,8,FALSE),VLOOKUP(B74,'Analyst Report'!$A$31:$I$288,9,FALSE))</f>
        <v>20</v>
      </c>
      <c r="S74" s="267">
        <f>(IF((ISNUMBER(R74)),R74,Q74))*K74</f>
        <v>20</v>
      </c>
      <c r="T74" s="267">
        <f>P74*S74</f>
        <v>20</v>
      </c>
      <c r="U74" s="164" t="s">
        <v>115</v>
      </c>
      <c r="V74" s="164" t="s">
        <v>115</v>
      </c>
      <c r="W74" s="164" t="s">
        <v>115</v>
      </c>
      <c r="X74" s="164" t="s">
        <v>115</v>
      </c>
      <c r="Y74" s="164" t="s">
        <v>115</v>
      </c>
      <c r="Z74" s="164" t="s">
        <v>115</v>
      </c>
      <c r="AA74" s="164" t="s">
        <v>115</v>
      </c>
      <c r="AB74" s="164" t="s">
        <v>115</v>
      </c>
    </row>
    <row r="75" spans="1:28" ht="195">
      <c r="A75" s="169">
        <f t="shared" si="3"/>
        <v>58</v>
      </c>
      <c r="B75" s="176" t="s">
        <v>205</v>
      </c>
      <c r="C75" s="176" t="s">
        <v>2583</v>
      </c>
      <c r="D75" s="170">
        <f>VLOOKUP(B75,'HECVAT - Full | Vendor Response'!A$4:D$320,4,TRUE)</f>
        <v>0</v>
      </c>
      <c r="E75" s="187" t="s">
        <v>115</v>
      </c>
      <c r="F75" s="187" t="s">
        <v>2584</v>
      </c>
      <c r="G75" s="187" t="s">
        <v>2585</v>
      </c>
      <c r="H75" s="181" t="s">
        <v>2581</v>
      </c>
      <c r="I75" s="181" t="s">
        <v>2582</v>
      </c>
      <c r="J75" s="266" t="str">
        <f>IF(S75&gt;20,"TRUE","FALSE")</f>
        <v>FALSE</v>
      </c>
      <c r="K75" s="173">
        <v>1</v>
      </c>
      <c r="L75" s="266" t="s">
        <v>404</v>
      </c>
      <c r="M75" s="267" t="s">
        <v>102</v>
      </c>
      <c r="N75" s="267" t="str">
        <f>VLOOKUP(B75,'HECVAT - Full | Vendor Response'!A:E,3,FALSE)</f>
        <v>Yes</v>
      </c>
      <c r="O75" s="267" t="str">
        <f>IF(LEN(VLOOKUP(B75,'Analyst Report'!$A:$I,7,FALSE))= 0,"",VLOOKUP(B75,'Analyst Report'!$A:$I,7,FALSE))</f>
        <v/>
      </c>
      <c r="P75" s="267">
        <f>IF((O75=""),(IF(ISNUMBER(FIND(M75,N75)), 1, 0)),(IF(ISNUMBER(FIND(M75,O75)), 1, 0)))</f>
        <v>1</v>
      </c>
      <c r="Q75" s="267">
        <v>20</v>
      </c>
      <c r="R75" s="267">
        <f>IF(LEN(VLOOKUP(B75,'Analyst Report'!$A$31:$I$288,9,FALSE))=0,VLOOKUP(B75,'Analyst Report'!$A$31:$I$288,8,FALSE),VLOOKUP(B75,'Analyst Report'!$A$31:$I$288,9,FALSE))</f>
        <v>20</v>
      </c>
      <c r="S75" s="267">
        <f>(IF((ISNUMBER(R75)),R75,Q75))*K75</f>
        <v>20</v>
      </c>
      <c r="T75" s="267">
        <f>P75*S75</f>
        <v>20</v>
      </c>
      <c r="U75" s="164" t="s">
        <v>115</v>
      </c>
      <c r="V75" s="164" t="s">
        <v>115</v>
      </c>
      <c r="W75" s="164" t="s">
        <v>115</v>
      </c>
      <c r="X75" s="164" t="s">
        <v>115</v>
      </c>
      <c r="Y75" s="164" t="s">
        <v>115</v>
      </c>
      <c r="Z75" s="164" t="s">
        <v>115</v>
      </c>
      <c r="AA75" s="164" t="s">
        <v>115</v>
      </c>
      <c r="AB75" s="164" t="s">
        <v>115</v>
      </c>
    </row>
    <row r="76" spans="1:28" ht="270">
      <c r="A76" s="169">
        <f t="shared" si="3"/>
        <v>59</v>
      </c>
      <c r="B76" s="176" t="s">
        <v>207</v>
      </c>
      <c r="C76" s="176" t="s">
        <v>2586</v>
      </c>
      <c r="D76" s="170">
        <f>VLOOKUP(B76,'HECVAT - Full | Vendor Response'!A$4:D$320,4,TRUE)</f>
        <v>0</v>
      </c>
      <c r="E76" s="187" t="s">
        <v>115</v>
      </c>
      <c r="F76" s="187" t="s">
        <v>2587</v>
      </c>
      <c r="G76" s="187" t="s">
        <v>2588</v>
      </c>
      <c r="H76" s="181" t="s">
        <v>2589</v>
      </c>
      <c r="I76" s="181" t="s">
        <v>2590</v>
      </c>
      <c r="J76" s="266" t="str">
        <f>IF(S76&gt;20,"TRUE","FALSE")</f>
        <v>TRUE</v>
      </c>
      <c r="K76" s="173">
        <v>1</v>
      </c>
      <c r="L76" s="266" t="s">
        <v>404</v>
      </c>
      <c r="M76" s="267" t="s">
        <v>102</v>
      </c>
      <c r="N76" s="267" t="str">
        <f>VLOOKUP(B76,'HECVAT - Full | Vendor Response'!A:E,3,FALSE)</f>
        <v>Yes</v>
      </c>
      <c r="O76" s="267" t="str">
        <f>IF(LEN(VLOOKUP(B76,'Analyst Report'!$A:$I,7,FALSE))= 0,"",VLOOKUP(B76,'Analyst Report'!$A:$I,7,FALSE))</f>
        <v/>
      </c>
      <c r="P76" s="267">
        <f>IF((O76=""),(IF(ISNUMBER(FIND(M76,N76)), 1, 0)),(IF(ISNUMBER(FIND(M76,O76)), 1, 0)))</f>
        <v>1</v>
      </c>
      <c r="Q76" s="267">
        <v>25</v>
      </c>
      <c r="R76" s="267">
        <f>IF(LEN(VLOOKUP(B76,'Analyst Report'!$A$31:$I$288,9,FALSE))=0,VLOOKUP(B76,'Analyst Report'!$A$31:$I$288,8,FALSE),VLOOKUP(B76,'Analyst Report'!$A$31:$I$288,9,FALSE))</f>
        <v>25</v>
      </c>
      <c r="S76" s="267">
        <f>(IF((ISNUMBER(R76)),R76,Q76))*K76</f>
        <v>25</v>
      </c>
      <c r="T76" s="267">
        <f>P76*S76</f>
        <v>25</v>
      </c>
      <c r="U76" s="164" t="s">
        <v>115</v>
      </c>
      <c r="V76" s="164" t="s">
        <v>115</v>
      </c>
      <c r="W76" s="164" t="s">
        <v>115</v>
      </c>
      <c r="X76" s="164" t="s">
        <v>115</v>
      </c>
      <c r="Y76" s="164" t="s">
        <v>115</v>
      </c>
      <c r="Z76" s="164" t="s">
        <v>115</v>
      </c>
      <c r="AA76" s="164" t="s">
        <v>115</v>
      </c>
      <c r="AB76" s="164" t="s">
        <v>115</v>
      </c>
    </row>
    <row r="77" spans="1:28" ht="150">
      <c r="A77" s="169">
        <f t="shared" si="3"/>
        <v>60</v>
      </c>
      <c r="B77" s="176" t="s">
        <v>209</v>
      </c>
      <c r="C77" s="176" t="s">
        <v>2591</v>
      </c>
      <c r="D77" s="170">
        <f>VLOOKUP(B77,'HECVAT - Full | Vendor Response'!A$4:D$320,4,TRUE)</f>
        <v>0</v>
      </c>
      <c r="E77" s="187" t="s">
        <v>115</v>
      </c>
      <c r="F77" s="187" t="s">
        <v>2592</v>
      </c>
      <c r="G77" s="187" t="s">
        <v>2593</v>
      </c>
      <c r="H77" s="181" t="s">
        <v>2594</v>
      </c>
      <c r="I77" s="181" t="s">
        <v>2595</v>
      </c>
      <c r="J77" s="266" t="str">
        <f>IF(S77&gt;20,"TRUE","FALSE")</f>
        <v>TRUE</v>
      </c>
      <c r="K77" s="173">
        <v>1</v>
      </c>
      <c r="L77" s="266" t="s">
        <v>404</v>
      </c>
      <c r="M77" s="267" t="s">
        <v>102</v>
      </c>
      <c r="N77" s="267" t="str">
        <f>VLOOKUP(B77,'HECVAT - Full | Vendor Response'!A:E,3,FALSE)</f>
        <v>Yes</v>
      </c>
      <c r="O77" s="267" t="str">
        <f>IF(LEN(VLOOKUP(B77,'Analyst Report'!$A:$I,7,FALSE))= 0,"",VLOOKUP(B77,'Analyst Report'!$A:$I,7,FALSE))</f>
        <v/>
      </c>
      <c r="P77" s="267">
        <f>IF((O77=""),(IF(ISNUMBER(FIND(M77,N77)), 1, 0)),(IF(ISNUMBER(FIND(M77,O77)), 1, 0)))</f>
        <v>1</v>
      </c>
      <c r="Q77" s="267">
        <v>25</v>
      </c>
      <c r="R77" s="267">
        <f>IF(LEN(VLOOKUP(B77,'Analyst Report'!$A$31:$I$288,9,FALSE))=0,VLOOKUP(B77,'Analyst Report'!$A$31:$I$288,8,FALSE),VLOOKUP(B77,'Analyst Report'!$A$31:$I$288,9,FALSE))</f>
        <v>25</v>
      </c>
      <c r="S77" s="267">
        <f>(IF((ISNUMBER(R77)),R77,Q77))*K77</f>
        <v>25</v>
      </c>
      <c r="T77" s="267">
        <f>P77*S77</f>
        <v>25</v>
      </c>
      <c r="U77" s="164" t="s">
        <v>115</v>
      </c>
      <c r="V77" s="164" t="s">
        <v>115</v>
      </c>
      <c r="W77" s="164" t="s">
        <v>115</v>
      </c>
      <c r="X77" s="164" t="s">
        <v>115</v>
      </c>
      <c r="Y77" s="164" t="s">
        <v>115</v>
      </c>
      <c r="Z77" s="164" t="s">
        <v>115</v>
      </c>
      <c r="AA77" s="164" t="s">
        <v>115</v>
      </c>
      <c r="AB77" s="164" t="s">
        <v>115</v>
      </c>
    </row>
    <row r="78" spans="1:28" ht="165">
      <c r="A78" s="169">
        <f t="shared" si="3"/>
        <v>61</v>
      </c>
      <c r="B78" s="176" t="s">
        <v>211</v>
      </c>
      <c r="C78" s="170" t="s">
        <v>2596</v>
      </c>
      <c r="D78" s="170" t="str">
        <f>VLOOKUP(B78,'HECVAT - Full | Vendor Response'!A$4:D$320,4,FALSE)</f>
        <v>Strong authentication is enforced by password requirements, aging requirements, MFA, and re-use policy. Weave also supports single sign-on protocols for user and administrator authentication.</v>
      </c>
      <c r="E78" s="265" t="s">
        <v>2597</v>
      </c>
      <c r="F78" s="265" t="s">
        <v>2598</v>
      </c>
      <c r="G78" s="265" t="s">
        <v>2599</v>
      </c>
      <c r="H78" s="175" t="s">
        <v>2600</v>
      </c>
      <c r="I78" s="175" t="s">
        <v>2601</v>
      </c>
      <c r="J78" s="266" t="str">
        <f t="shared" si="4"/>
        <v>TRUE</v>
      </c>
      <c r="K78" s="173">
        <v>1</v>
      </c>
      <c r="L78" s="266" t="s">
        <v>210</v>
      </c>
      <c r="M78" s="267">
        <v>1</v>
      </c>
      <c r="N78" s="267" t="str">
        <f>LEFT(VLOOKUP(B78,'HECVAT - Full | Vendor Response'!A:E,3,FALSE),1)</f>
        <v>1</v>
      </c>
      <c r="O78" s="267" t="str">
        <f>IF(LEN(VLOOKUP(B78,'Analyst Report'!$A:$I,7,FALSE))= 0,"",VLOOKUP(B78,'Analyst Report'!$A:$I,7,FALSE))</f>
        <v/>
      </c>
      <c r="P78" s="267">
        <f t="shared" ref="P78:P140" si="7">IF((O78=""),(IF(ISNUMBER(FIND(M78,N78)), 1, 0)),(IF(ISNUMBER(FIND(M78,O78)), 1, 0)))</f>
        <v>1</v>
      </c>
      <c r="Q78" s="267">
        <v>25</v>
      </c>
      <c r="R78" s="267">
        <f>IF(LEN(VLOOKUP(B78,'Analyst Report'!$A$31:$I$288,9,FALSE))=0,VLOOKUP(B78,'Analyst Report'!$A$31:$I$288,8,FALSE),VLOOKUP(B78,'Analyst Report'!$A$31:$I$288,9,FALSE))</f>
        <v>25</v>
      </c>
      <c r="S78" s="267">
        <f t="shared" si="1"/>
        <v>25</v>
      </c>
      <c r="T78" s="267">
        <f t="shared" ref="T78:T140" si="8">P78*S78</f>
        <v>25</v>
      </c>
      <c r="U78" s="164" t="s">
        <v>115</v>
      </c>
      <c r="V78" s="164" t="s">
        <v>115</v>
      </c>
      <c r="W78" s="164" t="s">
        <v>115</v>
      </c>
      <c r="X78" s="164" t="s">
        <v>115</v>
      </c>
      <c r="Y78" s="164" t="s">
        <v>115</v>
      </c>
      <c r="Z78" s="164" t="s">
        <v>115</v>
      </c>
      <c r="AA78" s="164" t="s">
        <v>115</v>
      </c>
      <c r="AB78" s="164" t="s">
        <v>115</v>
      </c>
    </row>
    <row r="79" spans="1:28" ht="150">
      <c r="A79" s="169">
        <f t="shared" si="3"/>
        <v>62</v>
      </c>
      <c r="B79" s="176" t="s">
        <v>214</v>
      </c>
      <c r="C79" s="170" t="s">
        <v>2602</v>
      </c>
      <c r="D79" s="170" t="str">
        <f>VLOOKUP(B79,'HECVAT - Full | Vendor Response'!A$4:D$320,4,FALSE)</f>
        <v>Weave supports administrator authentication as well as LDAP, SAML2, and Shibboleth.</v>
      </c>
      <c r="E79" s="187" t="s">
        <v>115</v>
      </c>
      <c r="F79" s="187" t="s">
        <v>2603</v>
      </c>
      <c r="G79" s="187" t="s">
        <v>2604</v>
      </c>
      <c r="H79" s="175" t="s">
        <v>2605</v>
      </c>
      <c r="I79" s="175" t="s">
        <v>2606</v>
      </c>
      <c r="J79" s="266" t="str">
        <f t="shared" si="4"/>
        <v>TRUE</v>
      </c>
      <c r="K79" s="173">
        <v>1</v>
      </c>
      <c r="L79" s="266" t="s">
        <v>210</v>
      </c>
      <c r="M79" s="267">
        <v>1</v>
      </c>
      <c r="N79" s="267" t="str">
        <f>LEFT(VLOOKUP(B79,'HECVAT - Full | Vendor Response'!A:E,3,FALSE),1)</f>
        <v>3</v>
      </c>
      <c r="O79" s="267" t="str">
        <f>IF(LEN(VLOOKUP(B79,'Analyst Report'!$A:$I,7,FALSE))= 0,"",VLOOKUP(B79,'Analyst Report'!$A:$I,7,FALSE))</f>
        <v/>
      </c>
      <c r="P79" s="267">
        <f t="shared" si="7"/>
        <v>0</v>
      </c>
      <c r="Q79" s="267">
        <v>25</v>
      </c>
      <c r="R79" s="267">
        <f>IF(LEN(VLOOKUP(B79,'Analyst Report'!$A$31:$I$288,9,FALSE))=0,VLOOKUP(B79,'Analyst Report'!$A$31:$I$288,8,FALSE),VLOOKUP(B79,'Analyst Report'!$A$31:$I$288,9,FALSE))</f>
        <v>25</v>
      </c>
      <c r="S79" s="267">
        <f t="shared" si="1"/>
        <v>25</v>
      </c>
      <c r="T79" s="267">
        <f t="shared" si="8"/>
        <v>0</v>
      </c>
      <c r="U79" s="164" t="s">
        <v>115</v>
      </c>
      <c r="V79" s="164" t="s">
        <v>115</v>
      </c>
      <c r="W79" s="164" t="s">
        <v>115</v>
      </c>
      <c r="X79" s="164" t="s">
        <v>115</v>
      </c>
      <c r="Y79" s="164" t="s">
        <v>115</v>
      </c>
      <c r="Z79" s="164" t="s">
        <v>115</v>
      </c>
      <c r="AA79" s="164" t="s">
        <v>115</v>
      </c>
      <c r="AB79" s="164" t="s">
        <v>115</v>
      </c>
    </row>
    <row r="80" spans="1:28" ht="180">
      <c r="A80" s="169">
        <f t="shared" si="3"/>
        <v>63</v>
      </c>
      <c r="B80" s="176" t="s">
        <v>217</v>
      </c>
      <c r="C80" s="170" t="s">
        <v>2607</v>
      </c>
      <c r="D80" s="170" t="str">
        <f>VLOOKUP(B80,'HECVAT - Full | Vendor Response'!A$4:D$320,4,FALSE)</f>
        <v>Passwords age out at 180 days</v>
      </c>
      <c r="E80" s="187" t="s">
        <v>115</v>
      </c>
      <c r="F80" s="187" t="s">
        <v>2608</v>
      </c>
      <c r="G80" s="187" t="s">
        <v>2609</v>
      </c>
      <c r="H80" s="175" t="s">
        <v>2610</v>
      </c>
      <c r="I80" s="175" t="s">
        <v>2611</v>
      </c>
      <c r="J80" s="266" t="str">
        <f t="shared" si="4"/>
        <v>FALSE</v>
      </c>
      <c r="K80" s="173">
        <f>IF(OR(N$79="1",N$79="3"),1,0)</f>
        <v>1</v>
      </c>
      <c r="L80" s="266" t="s">
        <v>210</v>
      </c>
      <c r="M80" s="267" t="s">
        <v>102</v>
      </c>
      <c r="N80" s="267" t="str">
        <f>VLOOKUP(B80,'HECVAT - Full | Vendor Response'!A:E,3,FALSE)</f>
        <v>Yes</v>
      </c>
      <c r="O80" s="267" t="str">
        <f>IF(LEN(VLOOKUP(B80,'Analyst Report'!$A:$I,7,FALSE))= 0,"",VLOOKUP(B80,'Analyst Report'!$A:$I,7,FALSE))</f>
        <v/>
      </c>
      <c r="P80" s="267">
        <f t="shared" si="7"/>
        <v>1</v>
      </c>
      <c r="Q80" s="267">
        <v>20</v>
      </c>
      <c r="R80" s="267">
        <f>IF(LEN(VLOOKUP(B80,'Analyst Report'!$A$31:$I$288,9,FALSE))=0,VLOOKUP(B80,'Analyst Report'!$A$31:$I$288,8,FALSE),VLOOKUP(B80,'Analyst Report'!$A$31:$I$288,9,FALSE))</f>
        <v>20</v>
      </c>
      <c r="S80" s="267">
        <f t="shared" si="1"/>
        <v>20</v>
      </c>
      <c r="T80" s="267">
        <f t="shared" si="8"/>
        <v>20</v>
      </c>
      <c r="U80" s="164" t="s">
        <v>115</v>
      </c>
      <c r="V80" s="164" t="s">
        <v>115</v>
      </c>
      <c r="W80" s="164" t="s">
        <v>115</v>
      </c>
      <c r="X80" s="164" t="s">
        <v>115</v>
      </c>
      <c r="Y80" s="164" t="s">
        <v>115</v>
      </c>
      <c r="Z80" s="164" t="s">
        <v>115</v>
      </c>
      <c r="AA80" s="164" t="s">
        <v>115</v>
      </c>
      <c r="AB80" s="164" t="s">
        <v>115</v>
      </c>
    </row>
    <row r="81" spans="1:28" ht="105">
      <c r="A81" s="169">
        <f t="shared" si="3"/>
        <v>64</v>
      </c>
      <c r="B81" s="176" t="s">
        <v>219</v>
      </c>
      <c r="C81" s="170" t="s">
        <v>2612</v>
      </c>
      <c r="D81" s="170" t="str">
        <f>VLOOKUP(B81,'HECVAT - Full | Vendor Response'!A$4:D$320,4,FALSE)</f>
        <v xml:space="preserve">Weave has set password comlexity requirements based on NIST SP 800-3 standards. All passwords must have at least: 
Twelve characters 
One number 
One upper-case character 
One lower-case character 
One special character </v>
      </c>
      <c r="E81" s="187" t="s">
        <v>115</v>
      </c>
      <c r="F81" s="187" t="s">
        <v>2613</v>
      </c>
      <c r="G81" s="187" t="s">
        <v>2614</v>
      </c>
      <c r="H81" s="175" t="s">
        <v>2615</v>
      </c>
      <c r="I81" s="175" t="s">
        <v>2616</v>
      </c>
      <c r="J81" s="266" t="str">
        <f t="shared" si="4"/>
        <v>TRUE</v>
      </c>
      <c r="K81" s="173">
        <f>IF(OR(N$79="1",N$79="3"),1,0)</f>
        <v>1</v>
      </c>
      <c r="L81" s="266" t="s">
        <v>210</v>
      </c>
      <c r="M81" s="267" t="s">
        <v>102</v>
      </c>
      <c r="N81" s="267" t="str">
        <f>VLOOKUP(B81,'HECVAT - Full | Vendor Response'!A:E,3,FALSE)</f>
        <v>No</v>
      </c>
      <c r="O81" s="267" t="str">
        <f>IF(LEN(VLOOKUP(B81,'Analyst Report'!$A:$I,7,FALSE))= 0,"",VLOOKUP(B81,'Analyst Report'!$A:$I,7,FALSE))</f>
        <v/>
      </c>
      <c r="P81" s="267">
        <f t="shared" si="7"/>
        <v>0</v>
      </c>
      <c r="Q81" s="267">
        <v>40</v>
      </c>
      <c r="R81" s="267">
        <f>IF(LEN(VLOOKUP(B81,'Analyst Report'!$A$31:$I$288,9,FALSE))=0,VLOOKUP(B81,'Analyst Report'!$A$31:$I$288,8,FALSE),VLOOKUP(B81,'Analyst Report'!$A$31:$I$288,9,FALSE))</f>
        <v>40</v>
      </c>
      <c r="S81" s="267">
        <f t="shared" si="1"/>
        <v>40</v>
      </c>
      <c r="T81" s="267">
        <f t="shared" si="8"/>
        <v>0</v>
      </c>
      <c r="U81" s="164" t="s">
        <v>115</v>
      </c>
      <c r="V81" s="164" t="s">
        <v>115</v>
      </c>
      <c r="W81" s="164" t="s">
        <v>115</v>
      </c>
      <c r="X81" s="164" t="s">
        <v>115</v>
      </c>
      <c r="Y81" s="164" t="s">
        <v>115</v>
      </c>
      <c r="Z81" s="164" t="s">
        <v>115</v>
      </c>
      <c r="AA81" s="164" t="s">
        <v>115</v>
      </c>
      <c r="AB81" s="164" t="s">
        <v>115</v>
      </c>
    </row>
    <row r="82" spans="1:28" ht="105">
      <c r="A82" s="169">
        <f t="shared" si="3"/>
        <v>65</v>
      </c>
      <c r="B82" s="176" t="s">
        <v>221</v>
      </c>
      <c r="C82" s="170" t="s">
        <v>2617</v>
      </c>
      <c r="D82" s="170" t="str">
        <f>VLOOKUP(B82,'HECVAT - Full | Vendor Response'!A$4:D$320,4,FALSE)</f>
        <v xml:space="preserve">If you have too many failed password attempts during login, your account will be locked for 15 minutes. You will need to wait and try again after the time is over. Please remember you can reset your password using the Forgot Password link if needed. 
You can’t use commonly guessed/exploited passwords. The Weave system maintains an ongoing list of these passwords. You will receive a warning/error if you attempt to use one of these passwords.  
You can't reuse a password that you have used in the last 30 days.  
If your current password does not meet the new requirements, you will need to change it. </v>
      </c>
      <c r="E82" s="187" t="s">
        <v>2618</v>
      </c>
      <c r="F82" s="187" t="s">
        <v>115</v>
      </c>
      <c r="G82" s="187" t="s">
        <v>2619</v>
      </c>
      <c r="H82" s="175" t="s">
        <v>2615</v>
      </c>
      <c r="I82" s="175" t="s">
        <v>2620</v>
      </c>
      <c r="J82" s="266" t="str">
        <f t="shared" si="4"/>
        <v>TRUE</v>
      </c>
      <c r="K82" s="173">
        <f>IF(OR(N$79="1",N$79="3"),1,0)</f>
        <v>1</v>
      </c>
      <c r="L82" s="266" t="s">
        <v>210</v>
      </c>
      <c r="M82" s="267" t="s">
        <v>100</v>
      </c>
      <c r="N82" s="267" t="str">
        <f>VLOOKUP(B82,'HECVAT - Full | Vendor Response'!A:E,3,FALSE)</f>
        <v>Yes</v>
      </c>
      <c r="O82" s="267" t="str">
        <f>IF(LEN(VLOOKUP(B82,'Analyst Report'!$A:$I,7,FALSE))= 0,"",VLOOKUP(B82,'Analyst Report'!$A:$I,7,FALSE))</f>
        <v/>
      </c>
      <c r="P82" s="267">
        <f t="shared" si="7"/>
        <v>0</v>
      </c>
      <c r="Q82" s="267">
        <v>40</v>
      </c>
      <c r="R82" s="267">
        <f>IF(LEN(VLOOKUP(B82,'Analyst Report'!$A$31:$I$288,9,FALSE))=0,VLOOKUP(B82,'Analyst Report'!$A$31:$I$288,8,FALSE),VLOOKUP(B82,'Analyst Report'!$A$31:$I$288,9,FALSE))</f>
        <v>40</v>
      </c>
      <c r="S82" s="267">
        <f t="shared" si="1"/>
        <v>40</v>
      </c>
      <c r="T82" s="267">
        <f t="shared" si="8"/>
        <v>0</v>
      </c>
      <c r="U82" s="164" t="s">
        <v>115</v>
      </c>
      <c r="V82" s="164" t="s">
        <v>115</v>
      </c>
      <c r="W82" s="164" t="s">
        <v>115</v>
      </c>
      <c r="X82" s="164" t="s">
        <v>115</v>
      </c>
      <c r="Y82" s="164" t="s">
        <v>115</v>
      </c>
      <c r="Z82" s="164" t="s">
        <v>115</v>
      </c>
      <c r="AA82" s="164" t="s">
        <v>115</v>
      </c>
      <c r="AB82" s="164" t="s">
        <v>115</v>
      </c>
    </row>
    <row r="83" spans="1:28" ht="150">
      <c r="A83" s="169">
        <f t="shared" si="3"/>
        <v>66</v>
      </c>
      <c r="B83" s="176" t="s">
        <v>223</v>
      </c>
      <c r="C83" s="170" t="s">
        <v>2621</v>
      </c>
      <c r="D83" s="170" t="str">
        <f>VLOOKUP(B83,'HECVAT - Full | Vendor Response'!A$4:D$320,4,FALSE)</f>
        <v>People can reset their own passwords via self-service.</v>
      </c>
      <c r="E83" s="187" t="s">
        <v>115</v>
      </c>
      <c r="F83" s="187" t="s">
        <v>2622</v>
      </c>
      <c r="G83" s="187" t="s">
        <v>2623</v>
      </c>
      <c r="H83" s="175" t="s">
        <v>2624</v>
      </c>
      <c r="I83" s="175" t="s">
        <v>2625</v>
      </c>
      <c r="J83" s="266" t="str">
        <f t="shared" si="4"/>
        <v>TRUE</v>
      </c>
      <c r="K83" s="173">
        <f>IF(OR(N$79="1",N$79="3"),1,0)</f>
        <v>1</v>
      </c>
      <c r="L83" s="266" t="s">
        <v>210</v>
      </c>
      <c r="M83" s="267" t="s">
        <v>102</v>
      </c>
      <c r="N83" s="267" t="str">
        <f>VLOOKUP(B83,'HECVAT - Full | Vendor Response'!A:E,3,FALSE)</f>
        <v>Yes</v>
      </c>
      <c r="O83" s="267" t="str">
        <f>IF(LEN(VLOOKUP(B83,'Analyst Report'!$A:$I,7,FALSE))= 0,"",VLOOKUP(B83,'Analyst Report'!$A:$I,7,FALSE))</f>
        <v/>
      </c>
      <c r="P83" s="267">
        <f t="shared" si="7"/>
        <v>1</v>
      </c>
      <c r="Q83" s="267">
        <v>25</v>
      </c>
      <c r="R83" s="267">
        <f>IF(LEN(VLOOKUP(B83,'Analyst Report'!$A$31:$I$288,9,FALSE))=0,VLOOKUP(B83,'Analyst Report'!$A$31:$I$288,8,FALSE),VLOOKUP(B83,'Analyst Report'!$A$31:$I$288,9,FALSE))</f>
        <v>25</v>
      </c>
      <c r="S83" s="267">
        <f t="shared" si="1"/>
        <v>25</v>
      </c>
      <c r="T83" s="267">
        <f t="shared" si="8"/>
        <v>25</v>
      </c>
      <c r="U83" s="164" t="s">
        <v>115</v>
      </c>
      <c r="V83" s="164" t="s">
        <v>115</v>
      </c>
      <c r="W83" s="164" t="s">
        <v>115</v>
      </c>
      <c r="X83" s="164" t="s">
        <v>115</v>
      </c>
      <c r="Y83" s="164" t="s">
        <v>115</v>
      </c>
      <c r="Z83" s="164" t="s">
        <v>115</v>
      </c>
      <c r="AA83" s="164" t="s">
        <v>115</v>
      </c>
      <c r="AB83" s="164" t="s">
        <v>115</v>
      </c>
    </row>
    <row r="84" spans="1:28" ht="180">
      <c r="A84" s="169">
        <f t="shared" si="3"/>
        <v>67</v>
      </c>
      <c r="B84" s="176" t="s">
        <v>225</v>
      </c>
      <c r="C84" s="170" t="s">
        <v>2626</v>
      </c>
      <c r="D84" s="170" t="str">
        <f>VLOOKUP(B84,'HECVAT - Full | Vendor Response'!A$4:D$320,4,FALSE)</f>
        <v>none</v>
      </c>
      <c r="E84" s="265" t="s">
        <v>115</v>
      </c>
      <c r="F84" s="265" t="s">
        <v>2627</v>
      </c>
      <c r="G84" s="265" t="s">
        <v>2628</v>
      </c>
      <c r="H84" s="175" t="s">
        <v>2629</v>
      </c>
      <c r="I84" s="175" t="s">
        <v>2630</v>
      </c>
      <c r="J84" s="266" t="str">
        <f t="shared" si="4"/>
        <v>TRUE</v>
      </c>
      <c r="K84" s="173">
        <f>IF(OR(N$78="1",N$78="3"),1,0)</f>
        <v>1</v>
      </c>
      <c r="L84" s="266" t="s">
        <v>210</v>
      </c>
      <c r="M84" s="267" t="s">
        <v>102</v>
      </c>
      <c r="N84" s="267" t="str">
        <f>VLOOKUP(B84,'HECVAT - Full | Vendor Response'!A:E,3,FALSE)</f>
        <v>No</v>
      </c>
      <c r="O84" s="267" t="str">
        <f>IF(LEN(VLOOKUP(B84,'Analyst Report'!$A:$I,7,FALSE))= 0,"",VLOOKUP(B84,'Analyst Report'!$A:$I,7,FALSE))</f>
        <v/>
      </c>
      <c r="P84" s="267">
        <f t="shared" si="7"/>
        <v>0</v>
      </c>
      <c r="Q84" s="267">
        <v>40</v>
      </c>
      <c r="R84" s="267">
        <f>IF(LEN(VLOOKUP(B84,'Analyst Report'!$A$31:$I$288,9,FALSE))=0,VLOOKUP(B84,'Analyst Report'!$A$31:$I$288,8,FALSE),VLOOKUP(B84,'Analyst Report'!$A$31:$I$288,9,FALSE))</f>
        <v>40</v>
      </c>
      <c r="S84" s="267">
        <f t="shared" si="1"/>
        <v>40</v>
      </c>
      <c r="T84" s="267">
        <f t="shared" si="8"/>
        <v>0</v>
      </c>
      <c r="U84" s="164" t="s">
        <v>115</v>
      </c>
      <c r="V84" s="164" t="s">
        <v>115</v>
      </c>
      <c r="W84" s="164" t="s">
        <v>115</v>
      </c>
      <c r="X84" s="164" t="s">
        <v>115</v>
      </c>
      <c r="Y84" s="164" t="s">
        <v>115</v>
      </c>
      <c r="Z84" s="164" t="s">
        <v>115</v>
      </c>
      <c r="AA84" s="164" t="s">
        <v>115</v>
      </c>
      <c r="AB84" s="164" t="s">
        <v>115</v>
      </c>
    </row>
    <row r="85" spans="1:28" ht="195">
      <c r="A85" s="169">
        <f t="shared" si="3"/>
        <v>68</v>
      </c>
      <c r="B85" s="176" t="s">
        <v>226</v>
      </c>
      <c r="C85" s="170" t="s">
        <v>2631</v>
      </c>
      <c r="D85" s="170" t="str">
        <f>VLOOKUP(B85,'HECVAT - Full | Vendor Response'!A$4:D$320,4,FALSE)</f>
        <v>Active Directory, LDAP, SAML2, Shibboleth</v>
      </c>
      <c r="E85" s="265" t="s">
        <v>115</v>
      </c>
      <c r="F85" s="265" t="s">
        <v>2632</v>
      </c>
      <c r="G85" s="265" t="s">
        <v>2633</v>
      </c>
      <c r="H85" s="175" t="s">
        <v>2600</v>
      </c>
      <c r="I85" s="175" t="s">
        <v>2634</v>
      </c>
      <c r="J85" s="266" t="str">
        <f t="shared" ref="J85:J145" si="9">IF(S85&gt;20,"TRUE","FALSE")</f>
        <v>FALSE</v>
      </c>
      <c r="K85" s="173">
        <v>1</v>
      </c>
      <c r="L85" s="266" t="s">
        <v>210</v>
      </c>
      <c r="M85" s="267" t="s">
        <v>102</v>
      </c>
      <c r="N85" s="267" t="str">
        <f>VLOOKUP(B85,'HECVAT - Full | Vendor Response'!A:E,3,FALSE)</f>
        <v>Yes</v>
      </c>
      <c r="O85" s="267" t="str">
        <f>IF(LEN(VLOOKUP(B85,'Analyst Report'!$A:$I,7,FALSE))= 0,"",VLOOKUP(B85,'Analyst Report'!$A:$I,7,FALSE))</f>
        <v/>
      </c>
      <c r="P85" s="267">
        <f t="shared" si="7"/>
        <v>1</v>
      </c>
      <c r="Q85" s="267">
        <v>20</v>
      </c>
      <c r="R85" s="267">
        <f>IF(LEN(VLOOKUP(B85,'Analyst Report'!$A$31:$I$288,9,FALSE))=0,VLOOKUP(B85,'Analyst Report'!$A$31:$I$288,8,FALSE),VLOOKUP(B85,'Analyst Report'!$A$31:$I$288,9,FALSE))</f>
        <v>20</v>
      </c>
      <c r="S85" s="267">
        <f t="shared" si="1"/>
        <v>20</v>
      </c>
      <c r="T85" s="267">
        <f t="shared" si="8"/>
        <v>20</v>
      </c>
      <c r="U85" s="164" t="s">
        <v>115</v>
      </c>
      <c r="V85" s="164" t="s">
        <v>115</v>
      </c>
      <c r="W85" s="164" t="s">
        <v>115</v>
      </c>
      <c r="X85" s="164" t="s">
        <v>115</v>
      </c>
      <c r="Y85" s="164" t="s">
        <v>115</v>
      </c>
      <c r="Z85" s="164" t="s">
        <v>115</v>
      </c>
      <c r="AA85" s="164" t="s">
        <v>115</v>
      </c>
      <c r="AB85" s="164" t="s">
        <v>115</v>
      </c>
    </row>
    <row r="86" spans="1:28" ht="165">
      <c r="A86" s="169">
        <f t="shared" si="3"/>
        <v>69</v>
      </c>
      <c r="B86" s="176" t="s">
        <v>228</v>
      </c>
      <c r="C86" s="170" t="s">
        <v>2635</v>
      </c>
      <c r="D86" s="170" t="str">
        <f>VLOOKUP(B86,'HECVAT - Full | Vendor Response'!A$4:D$320,4,FALSE)</f>
        <v>SAML2, CAS, OIDC</v>
      </c>
      <c r="E86" s="265" t="s">
        <v>2636</v>
      </c>
      <c r="F86" s="265" t="s">
        <v>2637</v>
      </c>
      <c r="G86" s="265" t="s">
        <v>2638</v>
      </c>
      <c r="H86" s="175" t="s">
        <v>2600</v>
      </c>
      <c r="I86" s="175" t="s">
        <v>2601</v>
      </c>
      <c r="J86" s="266" t="str">
        <f t="shared" si="9"/>
        <v>FALSE</v>
      </c>
      <c r="K86" s="173">
        <f>IF(OR(N$78="1",N$78="3"),1,0)</f>
        <v>1</v>
      </c>
      <c r="L86" s="266" t="s">
        <v>210</v>
      </c>
      <c r="M86" s="267" t="s">
        <v>102</v>
      </c>
      <c r="N86" s="267" t="str">
        <f>VLOOKUP(B86,'HECVAT - Full | Vendor Response'!A:E,3,FALSE)</f>
        <v>Yes</v>
      </c>
      <c r="O86" s="267" t="str">
        <f>IF(LEN(VLOOKUP(B86,'Analyst Report'!$A:$I,7,FALSE))= 0,"",VLOOKUP(B86,'Analyst Report'!$A:$I,7,FALSE))</f>
        <v/>
      </c>
      <c r="P86" s="267">
        <f t="shared" si="7"/>
        <v>1</v>
      </c>
      <c r="Q86" s="267">
        <v>15</v>
      </c>
      <c r="R86" s="267">
        <f>IF(LEN(VLOOKUP(B86,'Analyst Report'!$A$31:$I$288,9,FALSE))=0,VLOOKUP(B86,'Analyst Report'!$A$31:$I$288,8,FALSE),VLOOKUP(B86,'Analyst Report'!$A$31:$I$288,9,FALSE))</f>
        <v>15</v>
      </c>
      <c r="S86" s="267">
        <f t="shared" ref="S86:S150" si="10">(IF((ISNUMBER(R86)),R86,Q86))*K86</f>
        <v>15</v>
      </c>
      <c r="T86" s="267">
        <f t="shared" si="8"/>
        <v>15</v>
      </c>
      <c r="U86" s="164" t="s">
        <v>115</v>
      </c>
      <c r="V86" s="164" t="s">
        <v>115</v>
      </c>
      <c r="W86" s="164" t="s">
        <v>115</v>
      </c>
      <c r="X86" s="164" t="s">
        <v>115</v>
      </c>
      <c r="Y86" s="164" t="s">
        <v>115</v>
      </c>
      <c r="Z86" s="164" t="s">
        <v>115</v>
      </c>
      <c r="AA86" s="164" t="s">
        <v>115</v>
      </c>
      <c r="AB86" s="164" t="s">
        <v>115</v>
      </c>
    </row>
    <row r="87" spans="1:28" ht="135">
      <c r="A87" s="169">
        <f t="shared" ref="A87:A150" si="11">A86+1</f>
        <v>70</v>
      </c>
      <c r="B87" s="176" t="s">
        <v>230</v>
      </c>
      <c r="C87" s="170" t="s">
        <v>2639</v>
      </c>
      <c r="D87" s="170" t="str">
        <f>VLOOKUP(B87,'HECVAT - Full | Vendor Response'!A$4:D$320,4,FALSE)</f>
        <v>Weave uses the ePPN as the main identifier</v>
      </c>
      <c r="E87" s="265" t="s">
        <v>115</v>
      </c>
      <c r="F87" s="265" t="s">
        <v>2640</v>
      </c>
      <c r="G87" s="265" t="s">
        <v>115</v>
      </c>
      <c r="H87" s="175" t="s">
        <v>2641</v>
      </c>
      <c r="I87" s="175" t="s">
        <v>2642</v>
      </c>
      <c r="J87" s="266" t="str">
        <f t="shared" si="9"/>
        <v>FALSE</v>
      </c>
      <c r="K87" s="173">
        <v>1</v>
      </c>
      <c r="L87" s="266" t="s">
        <v>210</v>
      </c>
      <c r="M87" s="267" t="s">
        <v>102</v>
      </c>
      <c r="N87" s="267" t="str">
        <f>VLOOKUP(B87,'HECVAT - Full | Vendor Response'!A:E,3,FALSE)</f>
        <v>Yes</v>
      </c>
      <c r="O87" s="267" t="str">
        <f>IF(LEN(VLOOKUP(B87,'Analyst Report'!$A:$I,7,FALSE))= 0,"",VLOOKUP(B87,'Analyst Report'!$A:$I,7,FALSE))</f>
        <v/>
      </c>
      <c r="P87" s="267">
        <f t="shared" si="7"/>
        <v>1</v>
      </c>
      <c r="Q87" s="267">
        <v>15</v>
      </c>
      <c r="R87" s="267">
        <f>IF(LEN(VLOOKUP(B87,'Analyst Report'!$A$31:$I$288,9,FALSE))=0,VLOOKUP(B87,'Analyst Report'!$A$31:$I$288,8,FALSE),VLOOKUP(B87,'Analyst Report'!$A$31:$I$288,9,FALSE))</f>
        <v>15</v>
      </c>
      <c r="S87" s="267">
        <f t="shared" si="10"/>
        <v>15</v>
      </c>
      <c r="T87" s="267">
        <f t="shared" si="8"/>
        <v>15</v>
      </c>
      <c r="U87" s="164" t="s">
        <v>115</v>
      </c>
      <c r="V87" s="164" t="s">
        <v>115</v>
      </c>
      <c r="W87" s="164" t="s">
        <v>115</v>
      </c>
      <c r="X87" s="164" t="s">
        <v>115</v>
      </c>
      <c r="Y87" s="164" t="s">
        <v>115</v>
      </c>
      <c r="Z87" s="164" t="s">
        <v>115</v>
      </c>
      <c r="AA87" s="164" t="s">
        <v>115</v>
      </c>
      <c r="AB87" s="164" t="s">
        <v>115</v>
      </c>
    </row>
    <row r="88" spans="1:28" ht="135">
      <c r="A88" s="169">
        <f t="shared" si="11"/>
        <v>71</v>
      </c>
      <c r="B88" s="176" t="s">
        <v>232</v>
      </c>
      <c r="C88" s="170" t="s">
        <v>2643</v>
      </c>
      <c r="D88" s="170">
        <f>VLOOKUP(B88,'HECVAT - Full | Vendor Response'!A$4:D$320,4,FALSE)</f>
        <v>0</v>
      </c>
      <c r="E88" s="265" t="s">
        <v>115</v>
      </c>
      <c r="F88" s="265" t="s">
        <v>2644</v>
      </c>
      <c r="G88" s="265" t="s">
        <v>115</v>
      </c>
      <c r="H88" s="175" t="s">
        <v>2641</v>
      </c>
      <c r="I88" s="175" t="s">
        <v>2645</v>
      </c>
      <c r="J88" s="266" t="str">
        <f t="shared" si="9"/>
        <v>FALSE</v>
      </c>
      <c r="K88" s="173">
        <f>IF(OR(N$78="1",N$78="3"),1,0)</f>
        <v>1</v>
      </c>
      <c r="L88" s="266" t="s">
        <v>210</v>
      </c>
      <c r="M88" s="267" t="s">
        <v>102</v>
      </c>
      <c r="N88" s="267" t="str">
        <f>VLOOKUP(B88,'HECVAT - Full | Vendor Response'!A:E,3,FALSE)</f>
        <v>Yes</v>
      </c>
      <c r="O88" s="267" t="str">
        <f>IF(LEN(VLOOKUP(B88,'Analyst Report'!$A:$I,7,FALSE))= 0,"",VLOOKUP(B88,'Analyst Report'!$A:$I,7,FALSE))</f>
        <v/>
      </c>
      <c r="P88" s="267">
        <f t="shared" si="7"/>
        <v>1</v>
      </c>
      <c r="Q88" s="267">
        <v>20</v>
      </c>
      <c r="R88" s="267">
        <f>IF(LEN(VLOOKUP(B88,'Analyst Report'!$A$31:$I$288,9,FALSE))=0,VLOOKUP(B88,'Analyst Report'!$A$31:$I$288,8,FALSE),VLOOKUP(B88,'Analyst Report'!$A$31:$I$288,9,FALSE))</f>
        <v>20</v>
      </c>
      <c r="S88" s="267">
        <f t="shared" si="10"/>
        <v>20</v>
      </c>
      <c r="T88" s="267">
        <f t="shared" si="8"/>
        <v>20</v>
      </c>
      <c r="U88" s="164" t="s">
        <v>115</v>
      </c>
      <c r="V88" s="164" t="s">
        <v>115</v>
      </c>
      <c r="W88" s="164" t="s">
        <v>115</v>
      </c>
      <c r="X88" s="164" t="s">
        <v>115</v>
      </c>
      <c r="Y88" s="164" t="s">
        <v>115</v>
      </c>
      <c r="Z88" s="164" t="s">
        <v>115</v>
      </c>
      <c r="AA88" s="164" t="s">
        <v>115</v>
      </c>
      <c r="AB88" s="164" t="s">
        <v>115</v>
      </c>
    </row>
    <row r="89" spans="1:28" ht="105">
      <c r="A89" s="169">
        <f t="shared" si="11"/>
        <v>72</v>
      </c>
      <c r="B89" s="176" t="s">
        <v>233</v>
      </c>
      <c r="C89" s="170" t="s">
        <v>2646</v>
      </c>
      <c r="D89" s="170">
        <f>VLOOKUP(B89,'HECVAT - Full | Vendor Response'!A$4:D$320,4,FALSE)</f>
        <v>0</v>
      </c>
      <c r="E89" s="265" t="s">
        <v>115</v>
      </c>
      <c r="F89" s="265" t="s">
        <v>2647</v>
      </c>
      <c r="G89" s="265" t="s">
        <v>2648</v>
      </c>
      <c r="H89" s="175" t="s">
        <v>2649</v>
      </c>
      <c r="I89" s="175" t="s">
        <v>2650</v>
      </c>
      <c r="J89" s="266" t="str">
        <f t="shared" si="9"/>
        <v>FALSE</v>
      </c>
      <c r="K89" s="173">
        <f>IF(N$78="2",1,0)</f>
        <v>0</v>
      </c>
      <c r="L89" s="266" t="s">
        <v>210</v>
      </c>
      <c r="M89" s="267" t="s">
        <v>102</v>
      </c>
      <c r="N89" s="267">
        <f>VLOOKUP(B89,'HECVAT - Full | Vendor Response'!A:E,3,FALSE)</f>
        <v>0</v>
      </c>
      <c r="O89" s="267" t="str">
        <f>IF(LEN(VLOOKUP(B89,'Analyst Report'!$A:$I,7,FALSE))= 0,"",VLOOKUP(B89,'Analyst Report'!$A:$I,7,FALSE))</f>
        <v/>
      </c>
      <c r="P89" s="267">
        <f t="shared" si="7"/>
        <v>0</v>
      </c>
      <c r="Q89" s="267">
        <v>15</v>
      </c>
      <c r="R89" s="267">
        <f>IF(LEN(VLOOKUP(B89,'Analyst Report'!$A$31:$I$288,9,FALSE))=0,VLOOKUP(B89,'Analyst Report'!$A$31:$I$288,8,FALSE),VLOOKUP(B89,'Analyst Report'!$A$31:$I$288,9,FALSE))</f>
        <v>15</v>
      </c>
      <c r="S89" s="267">
        <f t="shared" si="10"/>
        <v>0</v>
      </c>
      <c r="T89" s="267">
        <f t="shared" si="8"/>
        <v>0</v>
      </c>
      <c r="U89" s="164" t="s">
        <v>115</v>
      </c>
      <c r="V89" s="164" t="s">
        <v>115</v>
      </c>
      <c r="W89" s="164" t="s">
        <v>115</v>
      </c>
      <c r="X89" s="164" t="s">
        <v>115</v>
      </c>
      <c r="Y89" s="164" t="s">
        <v>115</v>
      </c>
      <c r="Z89" s="164" t="s">
        <v>115</v>
      </c>
      <c r="AA89" s="164" t="s">
        <v>115</v>
      </c>
      <c r="AB89" s="164" t="s">
        <v>115</v>
      </c>
    </row>
    <row r="90" spans="1:28" ht="92.25" customHeight="1">
      <c r="A90" s="169">
        <f t="shared" si="11"/>
        <v>73</v>
      </c>
      <c r="B90" s="176" t="s">
        <v>234</v>
      </c>
      <c r="C90" s="170" t="s">
        <v>2651</v>
      </c>
      <c r="D90" s="170" t="str">
        <f>VLOOKUP(B90,'HECVAT - Full | Vendor Response'!A$4:D$320,4,FALSE)</f>
        <v>60 minutes of inactivity will terminate the session</v>
      </c>
      <c r="E90" s="265" t="s">
        <v>115</v>
      </c>
      <c r="F90" s="265" t="s">
        <v>2652</v>
      </c>
      <c r="G90" s="265" t="s">
        <v>2653</v>
      </c>
      <c r="H90" s="175" t="s">
        <v>2654</v>
      </c>
      <c r="I90" s="175" t="s">
        <v>2655</v>
      </c>
      <c r="J90" s="266" t="str">
        <f t="shared" si="9"/>
        <v>FALSE</v>
      </c>
      <c r="K90" s="173">
        <v>1</v>
      </c>
      <c r="L90" s="266" t="s">
        <v>210</v>
      </c>
      <c r="M90" s="267" t="s">
        <v>102</v>
      </c>
      <c r="N90" s="267" t="str">
        <f>VLOOKUP(B90,'HECVAT - Full | Vendor Response'!A:E,3,FALSE)</f>
        <v>Yes</v>
      </c>
      <c r="O90" s="267" t="str">
        <f>IF(LEN(VLOOKUP(B90,'Analyst Report'!$A:$I,7,FALSE))= 0,"",VLOOKUP(B90,'Analyst Report'!$A:$I,7,FALSE))</f>
        <v/>
      </c>
      <c r="P90" s="267">
        <f t="shared" si="7"/>
        <v>1</v>
      </c>
      <c r="Q90" s="267">
        <v>15</v>
      </c>
      <c r="R90" s="267">
        <f>IF(LEN(VLOOKUP(B90,'Analyst Report'!$A$31:$I$288,9,FALSE))=0,VLOOKUP(B90,'Analyst Report'!$A$31:$I$288,8,FALSE),VLOOKUP(B90,'Analyst Report'!$A$31:$I$288,9,FALSE))</f>
        <v>15</v>
      </c>
      <c r="S90" s="267">
        <f t="shared" si="10"/>
        <v>15</v>
      </c>
      <c r="T90" s="267">
        <f t="shared" si="8"/>
        <v>15</v>
      </c>
      <c r="U90" s="164" t="s">
        <v>115</v>
      </c>
      <c r="V90" s="164" t="s">
        <v>115</v>
      </c>
      <c r="W90" s="164" t="s">
        <v>115</v>
      </c>
      <c r="X90" s="164" t="s">
        <v>115</v>
      </c>
      <c r="Y90" s="164" t="s">
        <v>115</v>
      </c>
      <c r="Z90" s="164" t="s">
        <v>115</v>
      </c>
      <c r="AA90" s="164" t="s">
        <v>115</v>
      </c>
      <c r="AB90" s="164" t="s">
        <v>115</v>
      </c>
    </row>
    <row r="91" spans="1:28" ht="135">
      <c r="A91" s="169">
        <f t="shared" si="11"/>
        <v>74</v>
      </c>
      <c r="B91" s="176" t="s">
        <v>236</v>
      </c>
      <c r="C91" s="180" t="s">
        <v>2656</v>
      </c>
      <c r="D91" s="170">
        <f>VLOOKUP(B91,'HECVAT - Full | Vendor Response'!A$4:D$320,4,FALSE)</f>
        <v>0</v>
      </c>
      <c r="E91" s="187" t="s">
        <v>115</v>
      </c>
      <c r="F91" s="187" t="s">
        <v>115</v>
      </c>
      <c r="G91" s="187" t="s">
        <v>2657</v>
      </c>
      <c r="H91" s="175" t="s">
        <v>2658</v>
      </c>
      <c r="I91" s="175" t="s">
        <v>2659</v>
      </c>
      <c r="J91" s="266" t="str">
        <f t="shared" si="9"/>
        <v>TRUE</v>
      </c>
      <c r="K91" s="173">
        <v>1</v>
      </c>
      <c r="L91" s="266" t="s">
        <v>210</v>
      </c>
      <c r="M91" s="267" t="s">
        <v>100</v>
      </c>
      <c r="N91" s="267" t="str">
        <f>VLOOKUP(B91,'HECVAT - Full | Vendor Response'!A:E,3,FALSE)</f>
        <v>No</v>
      </c>
      <c r="O91" s="267" t="str">
        <f>IF(LEN(VLOOKUP(B91,'Analyst Report'!$A:$I,7,FALSE))= 0,"",VLOOKUP(B91,'Analyst Report'!$A:$I,7,FALSE))</f>
        <v/>
      </c>
      <c r="P91" s="267">
        <f t="shared" si="7"/>
        <v>1</v>
      </c>
      <c r="Q91" s="267">
        <v>25</v>
      </c>
      <c r="R91" s="267">
        <f>IF(LEN(VLOOKUP(B91,'Analyst Report'!$A$31:$I$288,9,FALSE))=0,VLOOKUP(B91,'Analyst Report'!$A$31:$I$288,8,FALSE),VLOOKUP(B91,'Analyst Report'!$A$31:$I$288,9,FALSE))</f>
        <v>25</v>
      </c>
      <c r="S91" s="267">
        <f t="shared" si="10"/>
        <v>25</v>
      </c>
      <c r="T91" s="267">
        <f t="shared" si="8"/>
        <v>25</v>
      </c>
      <c r="U91" s="164" t="s">
        <v>115</v>
      </c>
      <c r="V91" s="164" t="s">
        <v>115</v>
      </c>
      <c r="W91" s="164" t="s">
        <v>115</v>
      </c>
      <c r="X91" s="164" t="s">
        <v>115</v>
      </c>
      <c r="Y91" s="164" t="s">
        <v>115</v>
      </c>
      <c r="Z91" s="164" t="s">
        <v>115</v>
      </c>
      <c r="AA91" s="164" t="s">
        <v>115</v>
      </c>
      <c r="AB91" s="164" t="s">
        <v>115</v>
      </c>
    </row>
    <row r="92" spans="1:28" ht="90">
      <c r="A92" s="169">
        <f t="shared" si="11"/>
        <v>75</v>
      </c>
      <c r="B92" s="176" t="s">
        <v>237</v>
      </c>
      <c r="C92" s="180" t="s">
        <v>2660</v>
      </c>
      <c r="D92" s="170">
        <f>VLOOKUP(B92,'HECVAT - Full | Vendor Response'!A$4:D$320,4,FALSE)</f>
        <v>0</v>
      </c>
      <c r="E92" s="187" t="s">
        <v>115</v>
      </c>
      <c r="F92" s="187" t="s">
        <v>115</v>
      </c>
      <c r="G92" s="187" t="s">
        <v>2661</v>
      </c>
      <c r="H92" s="175" t="s">
        <v>2662</v>
      </c>
      <c r="I92" s="175" t="s">
        <v>2663</v>
      </c>
      <c r="J92" s="266" t="str">
        <f t="shared" si="9"/>
        <v>TRUE</v>
      </c>
      <c r="K92" s="173">
        <v>1</v>
      </c>
      <c r="L92" s="266" t="s">
        <v>210</v>
      </c>
      <c r="M92" s="267" t="s">
        <v>100</v>
      </c>
      <c r="N92" s="267" t="str">
        <f>VLOOKUP(B92,'HECVAT - Full | Vendor Response'!A:E,3,FALSE)</f>
        <v>No</v>
      </c>
      <c r="O92" s="267" t="str">
        <f>IF(LEN(VLOOKUP(B92,'Analyst Report'!$A:$I,7,FALSE))= 0,"",VLOOKUP(B92,'Analyst Report'!$A:$I,7,FALSE))</f>
        <v/>
      </c>
      <c r="P92" s="267">
        <f t="shared" si="7"/>
        <v>1</v>
      </c>
      <c r="Q92" s="267">
        <v>25</v>
      </c>
      <c r="R92" s="267">
        <f>IF(LEN(VLOOKUP(B92,'Analyst Report'!$A$31:$I$288,9,FALSE))=0,VLOOKUP(B92,'Analyst Report'!$A$31:$I$288,8,FALSE),VLOOKUP(B92,'Analyst Report'!$A$31:$I$288,9,FALSE))</f>
        <v>25</v>
      </c>
      <c r="S92" s="267">
        <f t="shared" si="10"/>
        <v>25</v>
      </c>
      <c r="T92" s="267">
        <f t="shared" si="8"/>
        <v>25</v>
      </c>
      <c r="U92" s="164" t="s">
        <v>115</v>
      </c>
      <c r="V92" s="164" t="s">
        <v>115</v>
      </c>
      <c r="W92" s="164" t="s">
        <v>115</v>
      </c>
      <c r="X92" s="164" t="s">
        <v>115</v>
      </c>
      <c r="Y92" s="164" t="s">
        <v>115</v>
      </c>
      <c r="Z92" s="164" t="s">
        <v>115</v>
      </c>
      <c r="AA92" s="164" t="s">
        <v>115</v>
      </c>
      <c r="AB92" s="164" t="s">
        <v>115</v>
      </c>
    </row>
    <row r="93" spans="1:28" ht="210.95" customHeight="1">
      <c r="A93" s="169">
        <f t="shared" si="11"/>
        <v>76</v>
      </c>
      <c r="B93" s="176" t="s">
        <v>238</v>
      </c>
      <c r="C93" s="170" t="s">
        <v>2664</v>
      </c>
      <c r="D93" s="170" t="str">
        <f>VLOOKUP(B93,'HECVAT - Full | Vendor Response'!A$4:D$320,4,FALSE)</f>
        <v>Active Directory, LDAP, SAML2</v>
      </c>
      <c r="E93" s="187" t="s">
        <v>115</v>
      </c>
      <c r="F93" s="187" t="s">
        <v>2665</v>
      </c>
      <c r="G93" s="187" t="s">
        <v>2666</v>
      </c>
      <c r="H93" s="175" t="s">
        <v>2667</v>
      </c>
      <c r="I93" s="175" t="s">
        <v>2668</v>
      </c>
      <c r="J93" s="266" t="str">
        <f t="shared" si="9"/>
        <v>FALSE</v>
      </c>
      <c r="K93" s="173">
        <v>1</v>
      </c>
      <c r="L93" s="266" t="s">
        <v>210</v>
      </c>
      <c r="M93" s="267" t="s">
        <v>102</v>
      </c>
      <c r="N93" s="267" t="str">
        <f>VLOOKUP(B93,'HECVAT - Full | Vendor Response'!A:E,3,FALSE)</f>
        <v>Yes</v>
      </c>
      <c r="O93" s="267" t="str">
        <f>IF(LEN(VLOOKUP(B93,'Analyst Report'!$A:$I,7,FALSE))= 0,"",VLOOKUP(B93,'Analyst Report'!$A:$I,7,FALSE))</f>
        <v/>
      </c>
      <c r="P93" s="267">
        <f t="shared" si="7"/>
        <v>1</v>
      </c>
      <c r="Q93" s="267">
        <v>20</v>
      </c>
      <c r="R93" s="267">
        <f>IF(LEN(VLOOKUP(B93,'Analyst Report'!$A$31:$I$288,9,FALSE))=0,VLOOKUP(B93,'Analyst Report'!$A$31:$I$288,8,FALSE),VLOOKUP(B93,'Analyst Report'!$A$31:$I$288,9,FALSE))</f>
        <v>20</v>
      </c>
      <c r="S93" s="267">
        <f t="shared" si="10"/>
        <v>20</v>
      </c>
      <c r="T93" s="267">
        <f t="shared" si="8"/>
        <v>20</v>
      </c>
      <c r="U93" s="164" t="s">
        <v>115</v>
      </c>
      <c r="V93" s="164" t="s">
        <v>115</v>
      </c>
      <c r="W93" s="164" t="s">
        <v>115</v>
      </c>
      <c r="X93" s="164" t="s">
        <v>115</v>
      </c>
      <c r="Y93" s="164" t="s">
        <v>115</v>
      </c>
      <c r="Z93" s="164" t="s">
        <v>115</v>
      </c>
      <c r="AA93" s="164" t="s">
        <v>115</v>
      </c>
      <c r="AB93" s="164" t="s">
        <v>115</v>
      </c>
    </row>
    <row r="94" spans="1:28" ht="195">
      <c r="A94" s="169">
        <f t="shared" si="11"/>
        <v>77</v>
      </c>
      <c r="B94" s="176" t="s">
        <v>240</v>
      </c>
      <c r="C94" s="170" t="s">
        <v>2669</v>
      </c>
      <c r="D94" s="170">
        <f>VLOOKUP(B94,'HECVAT - Full | Vendor Response'!A$4:D$320,4,FALSE)</f>
        <v>0</v>
      </c>
      <c r="E94" s="187" t="s">
        <v>115</v>
      </c>
      <c r="F94" s="187" t="s">
        <v>2670</v>
      </c>
      <c r="G94" s="187" t="s">
        <v>115</v>
      </c>
      <c r="H94" s="175" t="s">
        <v>2671</v>
      </c>
      <c r="I94" s="175" t="s">
        <v>2672</v>
      </c>
      <c r="J94" s="266" t="str">
        <f>IF(S94&gt;20,"TRUE","FALSE")</f>
        <v>TRUE</v>
      </c>
      <c r="K94" s="173">
        <v>1</v>
      </c>
      <c r="L94" s="266" t="s">
        <v>210</v>
      </c>
      <c r="M94" s="267" t="s">
        <v>102</v>
      </c>
      <c r="N94" s="267" t="str">
        <f>VLOOKUP(B94,'HECVAT - Full | Vendor Response'!A:E,3,FALSE)</f>
        <v>Yes</v>
      </c>
      <c r="O94" s="267" t="str">
        <f>IF(LEN(VLOOKUP(B94,'Analyst Report'!$A:$I,7,FALSE))= 0,"",VLOOKUP(B94,'Analyst Report'!$A:$I,7,FALSE))</f>
        <v/>
      </c>
      <c r="P94" s="267">
        <f>IF((O94=""),(IF(ISNUMBER(FIND(M94,N94)), 1, 0)),(IF(ISNUMBER(FIND(M94,O94)), 1, 0)))</f>
        <v>1</v>
      </c>
      <c r="Q94" s="267">
        <v>25</v>
      </c>
      <c r="R94" s="267">
        <f>IF(LEN(VLOOKUP(B94,'Analyst Report'!$A$31:$I$288,9,FALSE))=0,VLOOKUP(B94,'Analyst Report'!$A$31:$I$288,8,FALSE),VLOOKUP(B94,'Analyst Report'!$A$31:$I$288,9,FALSE))</f>
        <v>25</v>
      </c>
      <c r="S94" s="267">
        <f>(IF((ISNUMBER(R94)),R94,Q94))*K94</f>
        <v>25</v>
      </c>
      <c r="T94" s="267">
        <f>P94*S94</f>
        <v>25</v>
      </c>
      <c r="U94" s="164" t="s">
        <v>115</v>
      </c>
      <c r="V94" s="164" t="s">
        <v>115</v>
      </c>
      <c r="W94" s="164" t="s">
        <v>115</v>
      </c>
      <c r="X94" s="164" t="s">
        <v>115</v>
      </c>
      <c r="Y94" s="164" t="s">
        <v>115</v>
      </c>
      <c r="Z94" s="164" t="s">
        <v>115</v>
      </c>
      <c r="AA94" s="164" t="s">
        <v>115</v>
      </c>
      <c r="AB94" s="164" t="s">
        <v>115</v>
      </c>
    </row>
    <row r="95" spans="1:28" ht="240">
      <c r="A95" s="169">
        <f t="shared" si="11"/>
        <v>78</v>
      </c>
      <c r="B95" s="176" t="s">
        <v>241</v>
      </c>
      <c r="C95" s="170" t="s">
        <v>2673</v>
      </c>
      <c r="D95" s="170">
        <f>VLOOKUP(B95,'HECVAT - Full | Vendor Response'!A$4:D$320,4,FALSE)</f>
        <v>0</v>
      </c>
      <c r="E95" s="187" t="s">
        <v>2674</v>
      </c>
      <c r="F95" s="187" t="s">
        <v>115</v>
      </c>
      <c r="G95" s="187" t="s">
        <v>115</v>
      </c>
      <c r="H95" s="175" t="s">
        <v>2675</v>
      </c>
      <c r="I95" s="175" t="s">
        <v>2672</v>
      </c>
      <c r="J95" s="266"/>
      <c r="K95" s="173">
        <v>1</v>
      </c>
      <c r="L95" s="266" t="s">
        <v>210</v>
      </c>
      <c r="M95" s="267" t="s">
        <v>102</v>
      </c>
      <c r="N95" s="267"/>
      <c r="O95" s="267" t="str">
        <f>IF(LEN(VLOOKUP(B95,'Analyst Report'!$A:$I,7,FALSE))= 0,"",VLOOKUP(B95,'Analyst Report'!$A:$I,7,FALSE))</f>
        <v/>
      </c>
      <c r="P95" s="267">
        <f>IF((O95=""),(IF(ISNUMBER(FIND(M95,N95)), 1, 0)),(IF(ISNUMBER(FIND(M95,O95)), 1, 0)))</f>
        <v>0</v>
      </c>
      <c r="Q95" s="267">
        <v>25</v>
      </c>
      <c r="R95" s="267">
        <f>IF(LEN(VLOOKUP(B95,'Analyst Report'!$A$31:$I$288,9,FALSE))=0,VLOOKUP(B95,'Analyst Report'!$A$31:$I$288,8,FALSE),VLOOKUP(B95,'Analyst Report'!$A$31:$I$288,9,FALSE))</f>
        <v>25</v>
      </c>
      <c r="S95" s="267">
        <f>(IF((ISNUMBER(R95)),R95,Q95))*K95</f>
        <v>25</v>
      </c>
      <c r="T95" s="267">
        <f>P95*S95</f>
        <v>0</v>
      </c>
      <c r="U95" s="164" t="s">
        <v>115</v>
      </c>
      <c r="V95" s="164" t="s">
        <v>115</v>
      </c>
      <c r="W95" s="164" t="s">
        <v>115</v>
      </c>
      <c r="X95" s="164" t="s">
        <v>115</v>
      </c>
      <c r="Y95" s="164" t="s">
        <v>115</v>
      </c>
      <c r="Z95" s="164" t="s">
        <v>115</v>
      </c>
      <c r="AA95" s="164" t="s">
        <v>115</v>
      </c>
      <c r="AB95" s="164" t="s">
        <v>115</v>
      </c>
    </row>
    <row r="96" spans="1:28" ht="180">
      <c r="A96" s="169">
        <f t="shared" si="11"/>
        <v>79</v>
      </c>
      <c r="B96" s="176" t="s">
        <v>243</v>
      </c>
      <c r="C96" s="170" t="s">
        <v>2676</v>
      </c>
      <c r="D96" s="170">
        <f>VLOOKUP(B96,'HECVAT - Full | Vendor Response'!A$4:D$320,4,FALSE)</f>
        <v>0</v>
      </c>
      <c r="E96" s="187" t="s">
        <v>2677</v>
      </c>
      <c r="F96" s="187" t="s">
        <v>115</v>
      </c>
      <c r="G96" s="187" t="s">
        <v>115</v>
      </c>
      <c r="H96" s="175" t="s">
        <v>2678</v>
      </c>
      <c r="I96" s="175" t="s">
        <v>2679</v>
      </c>
      <c r="J96" s="266"/>
      <c r="K96" s="173">
        <v>1</v>
      </c>
      <c r="L96" s="266" t="s">
        <v>210</v>
      </c>
      <c r="M96" s="267" t="s">
        <v>102</v>
      </c>
      <c r="N96" s="267"/>
      <c r="O96" s="267" t="str">
        <f>IF(LEN(VLOOKUP(B96,'Analyst Report'!$A:$I,7,FALSE))= 0,"",VLOOKUP(B96,'Analyst Report'!$A:$I,7,FALSE))</f>
        <v/>
      </c>
      <c r="P96" s="267">
        <f>IF((O96=""),(IF(ISNUMBER(FIND(M96,N96)), 1, 0)),(IF(ISNUMBER(FIND(M96,O96)), 1, 0)))</f>
        <v>0</v>
      </c>
      <c r="Q96" s="267">
        <v>25</v>
      </c>
      <c r="R96" s="267">
        <f>IF(LEN(VLOOKUP(B96,'Analyst Report'!$A$31:$I$288,9,FALSE))=0,VLOOKUP(B96,'Analyst Report'!$A$31:$I$288,8,FALSE),VLOOKUP(B96,'Analyst Report'!$A$31:$I$288,9,FALSE))</f>
        <v>25</v>
      </c>
      <c r="S96" s="267">
        <f>(IF((ISNUMBER(R96)),R96,Q96))*K96</f>
        <v>25</v>
      </c>
      <c r="T96" s="267">
        <f>P96*S96</f>
        <v>0</v>
      </c>
      <c r="U96" s="164" t="s">
        <v>115</v>
      </c>
      <c r="V96" s="164" t="s">
        <v>115</v>
      </c>
      <c r="W96" s="164" t="s">
        <v>115</v>
      </c>
      <c r="X96" s="164" t="s">
        <v>115</v>
      </c>
      <c r="Y96" s="164" t="s">
        <v>115</v>
      </c>
      <c r="Z96" s="164" t="s">
        <v>115</v>
      </c>
      <c r="AA96" s="164" t="s">
        <v>115</v>
      </c>
      <c r="AB96" s="164" t="s">
        <v>115</v>
      </c>
    </row>
    <row r="97" spans="1:28" ht="120">
      <c r="A97" s="169">
        <f t="shared" si="11"/>
        <v>80</v>
      </c>
      <c r="B97" s="176" t="s">
        <v>245</v>
      </c>
      <c r="C97" s="170" t="s">
        <v>2680</v>
      </c>
      <c r="D97" s="170" t="str">
        <f>VLOOKUP(B97,'HECVAT - Full | Vendor Response'!A$4:D$320,4,TRUE)</f>
        <v>The Weave System Owner and Security Manager are responsible for the maintenance and review of the Business Continuity Plan</v>
      </c>
      <c r="E97" s="187" t="s">
        <v>115</v>
      </c>
      <c r="F97" s="187" t="s">
        <v>2681</v>
      </c>
      <c r="G97" s="265" t="s">
        <v>2682</v>
      </c>
      <c r="H97" s="175" t="s">
        <v>2683</v>
      </c>
      <c r="I97" s="175" t="s">
        <v>2684</v>
      </c>
      <c r="J97" s="266" t="str">
        <f t="shared" si="9"/>
        <v>FALSE</v>
      </c>
      <c r="K97" s="173">
        <f>IF(N$20="Yes",1,0)</f>
        <v>1</v>
      </c>
      <c r="L97" s="266" t="s">
        <v>2685</v>
      </c>
      <c r="M97" s="267" t="s">
        <v>102</v>
      </c>
      <c r="N97" s="267" t="str">
        <f>VLOOKUP(B97,'HECVAT - Full | Vendor Response'!A:E,3,FALSE)</f>
        <v>Yes</v>
      </c>
      <c r="O97" s="267" t="str">
        <f>IF(LEN(VLOOKUP(B97,'Analyst Report'!$A:$I,7,FALSE))= 0,"",VLOOKUP(B97,'Analyst Report'!$A:$I,7,FALSE))</f>
        <v/>
      </c>
      <c r="P97" s="267">
        <f t="shared" si="7"/>
        <v>1</v>
      </c>
      <c r="Q97" s="267">
        <v>20</v>
      </c>
      <c r="R97" s="267">
        <f>IF(LEN(VLOOKUP(B97,'Analyst Report'!$A$31:$I$288,9,FALSE))=0,VLOOKUP(B97,'Analyst Report'!$A$31:$I$288,8,FALSE),VLOOKUP(B97,'Analyst Report'!$A$31:$I$288,9,FALSE))</f>
        <v>20</v>
      </c>
      <c r="S97" s="267">
        <f t="shared" si="10"/>
        <v>20</v>
      </c>
      <c r="T97" s="267">
        <f t="shared" si="8"/>
        <v>20</v>
      </c>
      <c r="U97" s="164" t="s">
        <v>115</v>
      </c>
      <c r="V97" s="164" t="s">
        <v>115</v>
      </c>
      <c r="W97" s="164" t="s">
        <v>115</v>
      </c>
      <c r="X97" s="164" t="s">
        <v>115</v>
      </c>
      <c r="Y97" s="164" t="s">
        <v>115</v>
      </c>
      <c r="Z97" s="164" t="s">
        <v>115</v>
      </c>
      <c r="AA97" s="164" t="s">
        <v>115</v>
      </c>
      <c r="AB97" s="164" t="s">
        <v>115</v>
      </c>
    </row>
    <row r="98" spans="1:28" ht="120">
      <c r="A98" s="169">
        <f t="shared" si="11"/>
        <v>81</v>
      </c>
      <c r="B98" s="176" t="s">
        <v>247</v>
      </c>
      <c r="C98" s="170" t="s">
        <v>2686</v>
      </c>
      <c r="D98" s="170" t="str">
        <f>VLOOKUP(B98,'HECVAT - Full | Vendor Response'!A$4:D$320,4,TRUE)</f>
        <v xml:space="preserve">Weave Education may become aware of an outage or disruption from its staff or from customers. Customers generally report issues to the Helpdesk via a Zendesk ticket or a phone call. The Helpdesk forwards any reports of outage or disruption to the System Administrators who begin to assess the situation. The Helpdesk takes the lead on providing status updates to the initial customer. If any Contingency Plan Team member identifies an activity or issue that requires escalation to get prompt action, the Contingency Plan Team member escalates directly to both the Contingency Plan Manager and the Contingency Plan Director.  </v>
      </c>
      <c r="E98" s="187" t="s">
        <v>115</v>
      </c>
      <c r="F98" s="187" t="s">
        <v>2687</v>
      </c>
      <c r="G98" s="187" t="s">
        <v>2688</v>
      </c>
      <c r="H98" s="175" t="s">
        <v>2689</v>
      </c>
      <c r="I98" s="175" t="s">
        <v>2690</v>
      </c>
      <c r="J98" s="266" t="str">
        <f t="shared" si="9"/>
        <v>FALSE</v>
      </c>
      <c r="K98" s="173">
        <f t="shared" ref="K98:K106" si="12">IF(N$20="Yes",1,0)</f>
        <v>1</v>
      </c>
      <c r="L98" s="266" t="s">
        <v>2685</v>
      </c>
      <c r="M98" s="267" t="s">
        <v>102</v>
      </c>
      <c r="N98" s="267" t="str">
        <f>VLOOKUP(B98,'HECVAT - Full | Vendor Response'!A:E,3,FALSE)</f>
        <v>Yes</v>
      </c>
      <c r="O98" s="267" t="str">
        <f>IF(LEN(VLOOKUP(B98,'Analyst Report'!$A:$I,7,FALSE))= 0,"",VLOOKUP(B98,'Analyst Report'!$A:$I,7,FALSE))</f>
        <v/>
      </c>
      <c r="P98" s="267">
        <f t="shared" si="7"/>
        <v>1</v>
      </c>
      <c r="Q98" s="267">
        <v>20</v>
      </c>
      <c r="R98" s="267">
        <f>IF(LEN(VLOOKUP(B98,'Analyst Report'!$A$31:$I$288,9,FALSE))=0,VLOOKUP(B98,'Analyst Report'!$A$31:$I$288,8,FALSE),VLOOKUP(B98,'Analyst Report'!$A$31:$I$288,9,FALSE))</f>
        <v>20</v>
      </c>
      <c r="S98" s="267">
        <f t="shared" si="10"/>
        <v>20</v>
      </c>
      <c r="T98" s="267">
        <f t="shared" si="8"/>
        <v>20</v>
      </c>
      <c r="U98" s="164" t="s">
        <v>115</v>
      </c>
      <c r="V98" s="164" t="s">
        <v>115</v>
      </c>
      <c r="W98" s="164" t="s">
        <v>115</v>
      </c>
      <c r="X98" s="164" t="s">
        <v>115</v>
      </c>
      <c r="Y98" s="164" t="s">
        <v>115</v>
      </c>
      <c r="Z98" s="164" t="s">
        <v>115</v>
      </c>
      <c r="AA98" s="164" t="s">
        <v>115</v>
      </c>
      <c r="AB98" s="164" t="s">
        <v>115</v>
      </c>
    </row>
    <row r="99" spans="1:28" ht="120">
      <c r="A99" s="169">
        <f t="shared" si="11"/>
        <v>82</v>
      </c>
      <c r="B99" s="176" t="s">
        <v>249</v>
      </c>
      <c r="C99" s="170" t="s">
        <v>2691</v>
      </c>
      <c r="D99" s="170" t="str">
        <f>VLOOKUP(B99,'HECVAT - Full | Vendor Response'!A$4:D$320,4,TRUE)</f>
        <v xml:space="preserve">Based on potential widespread impact to customers during a Weave Platform outage or disruption, the Contingency Plan Director determines the best approach for communicating status awareness to customers and users.  Weave Education may use a combination of the following notification methods: 
The Helpdesk responds to individual customers based on tickets opened by those customers. 
The Member Success Team proactively communicates with all potentially impacted customers via email or phone. 
The Weave Education marketing website (www.weaveeducation.com) is updated to provide a status update to customers. </v>
      </c>
      <c r="E99" s="187" t="s">
        <v>115</v>
      </c>
      <c r="F99" s="187" t="s">
        <v>2692</v>
      </c>
      <c r="G99" s="187" t="s">
        <v>2693</v>
      </c>
      <c r="H99" s="175" t="s">
        <v>2689</v>
      </c>
      <c r="I99" s="175" t="s">
        <v>2690</v>
      </c>
      <c r="J99" s="266" t="str">
        <f t="shared" si="9"/>
        <v>TRUE</v>
      </c>
      <c r="K99" s="173">
        <f t="shared" si="12"/>
        <v>1</v>
      </c>
      <c r="L99" s="266" t="s">
        <v>2685</v>
      </c>
      <c r="M99" s="267" t="s">
        <v>102</v>
      </c>
      <c r="N99" s="267" t="str">
        <f>VLOOKUP(B99,'HECVAT - Full | Vendor Response'!A:E,3,FALSE)</f>
        <v>Yes</v>
      </c>
      <c r="O99" s="267" t="str">
        <f>IF(LEN(VLOOKUP(B99,'Analyst Report'!$A:$I,7,FALSE))= 0,"",VLOOKUP(B99,'Analyst Report'!$A:$I,7,FALSE))</f>
        <v/>
      </c>
      <c r="P99" s="267">
        <f t="shared" si="7"/>
        <v>1</v>
      </c>
      <c r="Q99" s="267">
        <v>25</v>
      </c>
      <c r="R99" s="267">
        <f>IF(LEN(VLOOKUP(B99,'Analyst Report'!$A$31:$I$288,9,FALSE))=0,VLOOKUP(B99,'Analyst Report'!$A$31:$I$288,8,FALSE),VLOOKUP(B99,'Analyst Report'!$A$31:$I$288,9,FALSE))</f>
        <v>25</v>
      </c>
      <c r="S99" s="267">
        <f t="shared" si="10"/>
        <v>25</v>
      </c>
      <c r="T99" s="267">
        <f t="shared" si="8"/>
        <v>25</v>
      </c>
      <c r="U99" s="164" t="s">
        <v>115</v>
      </c>
      <c r="V99" s="164" t="s">
        <v>115</v>
      </c>
      <c r="W99" s="164" t="s">
        <v>115</v>
      </c>
      <c r="X99" s="164" t="s">
        <v>115</v>
      </c>
      <c r="Y99" s="164" t="s">
        <v>115</v>
      </c>
      <c r="Z99" s="164" t="s">
        <v>115</v>
      </c>
      <c r="AA99" s="164" t="s">
        <v>115</v>
      </c>
      <c r="AB99" s="164" t="s">
        <v>115</v>
      </c>
    </row>
    <row r="100" spans="1:28" ht="150">
      <c r="A100" s="169">
        <f t="shared" si="11"/>
        <v>83</v>
      </c>
      <c r="B100" s="176" t="s">
        <v>251</v>
      </c>
      <c r="C100" s="170" t="s">
        <v>2694</v>
      </c>
      <c r="D100" s="170" t="str">
        <f>VLOOKUP(B100,'HECVAT - Full | Vendor Response'!A$4:D$320,4,TRUE)</f>
        <v>The contingency plan is reviewed annually by both the security manager and the system owner, and updated to include any system changes.</v>
      </c>
      <c r="E100" s="187" t="s">
        <v>115</v>
      </c>
      <c r="F100" s="187" t="s">
        <v>2695</v>
      </c>
      <c r="G100" s="187" t="s">
        <v>2696</v>
      </c>
      <c r="H100" s="175" t="s">
        <v>2697</v>
      </c>
      <c r="I100" s="175" t="s">
        <v>2698</v>
      </c>
      <c r="J100" s="266" t="str">
        <f t="shared" si="9"/>
        <v>TRUE</v>
      </c>
      <c r="K100" s="173">
        <f t="shared" si="12"/>
        <v>1</v>
      </c>
      <c r="L100" s="266" t="s">
        <v>2685</v>
      </c>
      <c r="M100" s="267" t="s">
        <v>102</v>
      </c>
      <c r="N100" s="267" t="str">
        <f>VLOOKUP(B100,'HECVAT - Full | Vendor Response'!A:E,3,FALSE)</f>
        <v>Yes</v>
      </c>
      <c r="O100" s="267" t="str">
        <f>IF(LEN(VLOOKUP(B100,'Analyst Report'!$A:$I,7,FALSE))= 0,"",VLOOKUP(B100,'Analyst Report'!$A:$I,7,FALSE))</f>
        <v/>
      </c>
      <c r="P100" s="267">
        <f t="shared" si="7"/>
        <v>1</v>
      </c>
      <c r="Q100" s="267">
        <v>25</v>
      </c>
      <c r="R100" s="267">
        <f>IF(LEN(VLOOKUP(B100,'Analyst Report'!$A$31:$I$288,9,FALSE))=0,VLOOKUP(B100,'Analyst Report'!$A$31:$I$288,8,FALSE),VLOOKUP(B100,'Analyst Report'!$A$31:$I$288,9,FALSE))</f>
        <v>25</v>
      </c>
      <c r="S100" s="267">
        <f t="shared" si="10"/>
        <v>25</v>
      </c>
      <c r="T100" s="267">
        <f t="shared" si="8"/>
        <v>25</v>
      </c>
      <c r="U100" s="164" t="s">
        <v>115</v>
      </c>
      <c r="V100" s="164" t="s">
        <v>115</v>
      </c>
      <c r="W100" s="164" t="s">
        <v>115</v>
      </c>
      <c r="X100" s="164" t="s">
        <v>115</v>
      </c>
      <c r="Y100" s="164" t="s">
        <v>115</v>
      </c>
      <c r="Z100" s="164" t="s">
        <v>115</v>
      </c>
      <c r="AA100" s="164" t="s">
        <v>115</v>
      </c>
      <c r="AB100" s="164" t="s">
        <v>115</v>
      </c>
    </row>
    <row r="101" spans="1:28" ht="165">
      <c r="A101" s="169">
        <f t="shared" si="11"/>
        <v>84</v>
      </c>
      <c r="B101" s="176" t="s">
        <v>253</v>
      </c>
      <c r="C101" s="170" t="s">
        <v>2699</v>
      </c>
      <c r="D101" s="170" t="str">
        <f>VLOOKUP(B101,'HECVAT - Full | Vendor Response'!A$4:D$320,4,TRUE)</f>
        <v xml:space="preserve">​​Weave Education​ established multiple roles and responsibilities for responding to outages, disruptions, and disasters for the ​Weave Platform​. Individuals assigned roles for recovery operations collectively make up the Contingency Plan Team and are trained annually in their duties. Contingency Plan Team members are chosen based on their skills and knowledge. 
The Contingency Plan Team consists of personnel selected to perform the roles and responsibilities described in the sections that follow. All team leads are considered key personnel. </v>
      </c>
      <c r="E101" s="187" t="s">
        <v>115</v>
      </c>
      <c r="F101" s="187" t="s">
        <v>2700</v>
      </c>
      <c r="G101" s="187" t="s">
        <v>2701</v>
      </c>
      <c r="H101" s="175" t="s">
        <v>2702</v>
      </c>
      <c r="I101" s="175" t="s">
        <v>2703</v>
      </c>
      <c r="J101" s="266" t="str">
        <f t="shared" si="9"/>
        <v>FALSE</v>
      </c>
      <c r="K101" s="173">
        <f t="shared" si="12"/>
        <v>1</v>
      </c>
      <c r="L101" s="266" t="s">
        <v>2685</v>
      </c>
      <c r="M101" s="267" t="s">
        <v>102</v>
      </c>
      <c r="N101" s="267" t="str">
        <f>VLOOKUP(B101,'HECVAT - Full | Vendor Response'!A:E,3,FALSE)</f>
        <v>Yes</v>
      </c>
      <c r="O101" s="267" t="str">
        <f>IF(LEN(VLOOKUP(B101,'Analyst Report'!$A:$I,7,FALSE))= 0,"",VLOOKUP(B101,'Analyst Report'!$A:$I,7,FALSE))</f>
        <v/>
      </c>
      <c r="P101" s="267">
        <f t="shared" si="7"/>
        <v>1</v>
      </c>
      <c r="Q101" s="267">
        <v>20</v>
      </c>
      <c r="R101" s="267">
        <f>IF(LEN(VLOOKUP(B101,'Analyst Report'!$A$31:$I$288,9,FALSE))=0,VLOOKUP(B101,'Analyst Report'!$A$31:$I$288,8,FALSE),VLOOKUP(B101,'Analyst Report'!$A$31:$I$288,9,FALSE))</f>
        <v>20</v>
      </c>
      <c r="S101" s="267">
        <f t="shared" si="10"/>
        <v>20</v>
      </c>
      <c r="T101" s="267">
        <f t="shared" si="8"/>
        <v>20</v>
      </c>
      <c r="U101" s="164" t="s">
        <v>115</v>
      </c>
      <c r="V101" s="164" t="s">
        <v>115</v>
      </c>
      <c r="W101" s="164" t="s">
        <v>115</v>
      </c>
      <c r="X101" s="164" t="s">
        <v>115</v>
      </c>
      <c r="Y101" s="164" t="s">
        <v>115</v>
      </c>
      <c r="Z101" s="164" t="s">
        <v>115</v>
      </c>
      <c r="AA101" s="164" t="s">
        <v>115</v>
      </c>
      <c r="AB101" s="164" t="s">
        <v>115</v>
      </c>
    </row>
    <row r="102" spans="1:28" ht="135">
      <c r="A102" s="169">
        <f t="shared" si="11"/>
        <v>85</v>
      </c>
      <c r="B102" s="176" t="s">
        <v>255</v>
      </c>
      <c r="C102" s="170" t="s">
        <v>2704</v>
      </c>
      <c r="D102" s="170" t="str">
        <f>VLOOKUP(B102,'HECVAT - Full | Vendor Response'!A$4:D$320,4,TRUE)</f>
        <v>Training and awareness campaigns occur at least annually for all employees</v>
      </c>
      <c r="E102" s="187" t="s">
        <v>115</v>
      </c>
      <c r="F102" s="187" t="s">
        <v>2705</v>
      </c>
      <c r="G102" s="187" t="s">
        <v>2706</v>
      </c>
      <c r="H102" s="175" t="s">
        <v>2707</v>
      </c>
      <c r="I102" s="175" t="s">
        <v>2708</v>
      </c>
      <c r="J102" s="266" t="str">
        <f t="shared" si="9"/>
        <v>FALSE</v>
      </c>
      <c r="K102" s="173">
        <f t="shared" si="12"/>
        <v>1</v>
      </c>
      <c r="L102" s="266" t="s">
        <v>2685</v>
      </c>
      <c r="M102" s="267" t="s">
        <v>102</v>
      </c>
      <c r="N102" s="267" t="str">
        <f>VLOOKUP(B102,'HECVAT - Full | Vendor Response'!A:E,3,FALSE)</f>
        <v>Yes</v>
      </c>
      <c r="O102" s="267" t="str">
        <f>IF(LEN(VLOOKUP(B102,'Analyst Report'!$A:$I,7,FALSE))= 0,"",VLOOKUP(B102,'Analyst Report'!$A:$I,7,FALSE))</f>
        <v/>
      </c>
      <c r="P102" s="267">
        <f t="shared" si="7"/>
        <v>1</v>
      </c>
      <c r="Q102" s="267">
        <v>20</v>
      </c>
      <c r="R102" s="267">
        <f>IF(LEN(VLOOKUP(B102,'Analyst Report'!$A$31:$I$288,9,FALSE))=0,VLOOKUP(B102,'Analyst Report'!$A$31:$I$288,8,FALSE),VLOOKUP(B102,'Analyst Report'!$A$31:$I$288,9,FALSE))</f>
        <v>20</v>
      </c>
      <c r="S102" s="267">
        <f t="shared" si="10"/>
        <v>20</v>
      </c>
      <c r="T102" s="267">
        <f t="shared" si="8"/>
        <v>20</v>
      </c>
      <c r="U102" s="164" t="s">
        <v>115</v>
      </c>
      <c r="V102" s="164" t="s">
        <v>115</v>
      </c>
      <c r="W102" s="164" t="s">
        <v>115</v>
      </c>
      <c r="X102" s="164" t="s">
        <v>115</v>
      </c>
      <c r="Y102" s="164" t="s">
        <v>115</v>
      </c>
      <c r="Z102" s="164" t="s">
        <v>115</v>
      </c>
      <c r="AA102" s="164" t="s">
        <v>115</v>
      </c>
      <c r="AB102" s="164" t="s">
        <v>115</v>
      </c>
    </row>
    <row r="103" spans="1:28" ht="150">
      <c r="A103" s="169">
        <f t="shared" si="11"/>
        <v>86</v>
      </c>
      <c r="B103" s="176" t="s">
        <v>257</v>
      </c>
      <c r="C103" s="170" t="s">
        <v>2709</v>
      </c>
      <c r="D103" s="170" t="str">
        <f>VLOOKUP(B103,'HECVAT - Full | Vendor Response'!A$4:D$320,4,TRUE)</f>
        <v>As AWS is Weave's IaaS provider, Weave can easily move to an alternate avialability zone.</v>
      </c>
      <c r="E103" s="187" t="s">
        <v>115</v>
      </c>
      <c r="F103" s="187" t="s">
        <v>2710</v>
      </c>
      <c r="G103" s="187" t="s">
        <v>2711</v>
      </c>
      <c r="H103" s="175" t="s">
        <v>2712</v>
      </c>
      <c r="I103" s="175" t="s">
        <v>2713</v>
      </c>
      <c r="J103" s="266" t="str">
        <f t="shared" si="9"/>
        <v>FALSE</v>
      </c>
      <c r="K103" s="173">
        <f t="shared" si="12"/>
        <v>1</v>
      </c>
      <c r="L103" s="266" t="s">
        <v>2685</v>
      </c>
      <c r="M103" s="267" t="s">
        <v>102</v>
      </c>
      <c r="N103" s="267" t="str">
        <f>VLOOKUP(B103,'HECVAT - Full | Vendor Response'!A:E,3,FALSE)</f>
        <v>Yes</v>
      </c>
      <c r="O103" s="267" t="str">
        <f>IF(LEN(VLOOKUP(B103,'Analyst Report'!$A:$I,7,FALSE))= 0,"",VLOOKUP(B103,'Analyst Report'!$A:$I,7,FALSE))</f>
        <v/>
      </c>
      <c r="P103" s="267">
        <f t="shared" si="7"/>
        <v>1</v>
      </c>
      <c r="Q103" s="267">
        <v>20</v>
      </c>
      <c r="R103" s="267">
        <f>IF(LEN(VLOOKUP(B103,'Analyst Report'!$A$31:$I$288,9,FALSE))=0,VLOOKUP(B103,'Analyst Report'!$A$31:$I$288,8,FALSE),VLOOKUP(B103,'Analyst Report'!$A$31:$I$288,9,FALSE))</f>
        <v>20</v>
      </c>
      <c r="S103" s="267">
        <f t="shared" si="10"/>
        <v>20</v>
      </c>
      <c r="T103" s="267">
        <f t="shared" si="8"/>
        <v>20</v>
      </c>
      <c r="U103" s="164" t="s">
        <v>115</v>
      </c>
      <c r="V103" s="164" t="s">
        <v>115</v>
      </c>
      <c r="W103" s="164" t="s">
        <v>115</v>
      </c>
      <c r="X103" s="164" t="s">
        <v>115</v>
      </c>
      <c r="Y103" s="164" t="s">
        <v>115</v>
      </c>
      <c r="Z103" s="164" t="s">
        <v>115</v>
      </c>
      <c r="AA103" s="164" t="s">
        <v>115</v>
      </c>
      <c r="AB103" s="164" t="s">
        <v>115</v>
      </c>
    </row>
    <row r="104" spans="1:28" ht="135">
      <c r="A104" s="169">
        <f t="shared" si="11"/>
        <v>87</v>
      </c>
      <c r="B104" s="176" t="s">
        <v>259</v>
      </c>
      <c r="C104" s="170" t="s">
        <v>2714</v>
      </c>
      <c r="D104" s="170" t="str">
        <f>VLOOKUP(B104,'HECVAT - Full | Vendor Response'!A$4:D$320,4,TRUE)</f>
        <v>As part of its annual testing, Weave conducts tabletop testing of moving to an alternate AWS availability zone.</v>
      </c>
      <c r="E104" s="187" t="s">
        <v>115</v>
      </c>
      <c r="F104" s="187" t="s">
        <v>2715</v>
      </c>
      <c r="G104" s="187" t="s">
        <v>2716</v>
      </c>
      <c r="H104" s="175" t="s">
        <v>2717</v>
      </c>
      <c r="I104" s="175" t="s">
        <v>2698</v>
      </c>
      <c r="J104" s="266" t="str">
        <f t="shared" si="9"/>
        <v>FALSE</v>
      </c>
      <c r="K104" s="173">
        <f t="shared" si="12"/>
        <v>1</v>
      </c>
      <c r="L104" s="266" t="s">
        <v>2685</v>
      </c>
      <c r="M104" s="267" t="s">
        <v>102</v>
      </c>
      <c r="N104" s="267" t="str">
        <f>VLOOKUP(B104,'HECVAT - Full | Vendor Response'!A:E,3,FALSE)</f>
        <v>Yes</v>
      </c>
      <c r="O104" s="267" t="str">
        <f>IF(LEN(VLOOKUP(B104,'Analyst Report'!$A:$I,7,FALSE))= 0,"",VLOOKUP(B104,'Analyst Report'!$A:$I,7,FALSE))</f>
        <v/>
      </c>
      <c r="P104" s="267">
        <f t="shared" si="7"/>
        <v>1</v>
      </c>
      <c r="Q104" s="267">
        <v>20</v>
      </c>
      <c r="R104" s="267">
        <f>IF(LEN(VLOOKUP(B104,'Analyst Report'!$A$31:$I$288,9,FALSE))=0,VLOOKUP(B104,'Analyst Report'!$A$31:$I$288,8,FALSE),VLOOKUP(B104,'Analyst Report'!$A$31:$I$288,9,FALSE))</f>
        <v>20</v>
      </c>
      <c r="S104" s="267">
        <f t="shared" si="10"/>
        <v>20</v>
      </c>
      <c r="T104" s="267">
        <f t="shared" si="8"/>
        <v>20</v>
      </c>
      <c r="U104" s="164" t="s">
        <v>115</v>
      </c>
      <c r="V104" s="164" t="s">
        <v>115</v>
      </c>
      <c r="W104" s="164" t="s">
        <v>115</v>
      </c>
      <c r="X104" s="164" t="s">
        <v>115</v>
      </c>
      <c r="Y104" s="164" t="s">
        <v>115</v>
      </c>
      <c r="Z104" s="164" t="s">
        <v>115</v>
      </c>
      <c r="AA104" s="164" t="s">
        <v>115</v>
      </c>
      <c r="AB104" s="164" t="s">
        <v>115</v>
      </c>
    </row>
    <row r="105" spans="1:28" ht="180">
      <c r="A105" s="169">
        <f t="shared" si="11"/>
        <v>88</v>
      </c>
      <c r="B105" s="176" t="s">
        <v>261</v>
      </c>
      <c r="C105" s="170" t="s">
        <v>2718</v>
      </c>
      <c r="D105" s="170" t="str">
        <f>VLOOKUP(B105,'HECVAT - Full | Vendor Response'!A$4:D$320,4,TRUE)</f>
        <v>The Weave platform is Weave's only priority for business continuity planning.</v>
      </c>
      <c r="E105" s="187" t="s">
        <v>115</v>
      </c>
      <c r="F105" s="187" t="s">
        <v>2719</v>
      </c>
      <c r="G105" s="187" t="s">
        <v>2720</v>
      </c>
      <c r="H105" s="175" t="s">
        <v>2721</v>
      </c>
      <c r="I105" s="175" t="s">
        <v>2722</v>
      </c>
      <c r="J105" s="266" t="str">
        <f t="shared" si="9"/>
        <v>FALSE</v>
      </c>
      <c r="K105" s="173">
        <f t="shared" si="12"/>
        <v>1</v>
      </c>
      <c r="L105" s="266" t="s">
        <v>2685</v>
      </c>
      <c r="M105" s="267" t="s">
        <v>102</v>
      </c>
      <c r="N105" s="267" t="str">
        <f>VLOOKUP(B105,'HECVAT - Full | Vendor Response'!A:E,3,FALSE)</f>
        <v>Yes</v>
      </c>
      <c r="O105" s="267" t="str">
        <f>IF(LEN(VLOOKUP(B105,'Analyst Report'!$A:$I,7,FALSE))= 0,"",VLOOKUP(B105,'Analyst Report'!$A:$I,7,FALSE))</f>
        <v/>
      </c>
      <c r="P105" s="267">
        <f t="shared" si="7"/>
        <v>1</v>
      </c>
      <c r="Q105" s="267">
        <v>15</v>
      </c>
      <c r="R105" s="267">
        <f>IF(LEN(VLOOKUP(B105,'Analyst Report'!$A$31:$I$288,9,FALSE))=0,VLOOKUP(B105,'Analyst Report'!$A$31:$I$288,8,FALSE),VLOOKUP(B105,'Analyst Report'!$A$31:$I$288,9,FALSE))</f>
        <v>15</v>
      </c>
      <c r="S105" s="267">
        <f t="shared" si="10"/>
        <v>15</v>
      </c>
      <c r="T105" s="267">
        <f t="shared" si="8"/>
        <v>15</v>
      </c>
      <c r="U105" s="164" t="s">
        <v>115</v>
      </c>
      <c r="V105" s="164" t="s">
        <v>115</v>
      </c>
      <c r="W105" s="164" t="s">
        <v>115</v>
      </c>
      <c r="X105" s="164" t="s">
        <v>115</v>
      </c>
      <c r="Y105" s="164" t="s">
        <v>115</v>
      </c>
      <c r="Z105" s="164" t="s">
        <v>115</v>
      </c>
      <c r="AA105" s="164" t="s">
        <v>115</v>
      </c>
      <c r="AB105" s="164" t="s">
        <v>115</v>
      </c>
    </row>
    <row r="106" spans="1:28" ht="105">
      <c r="A106" s="169">
        <f t="shared" si="11"/>
        <v>89</v>
      </c>
      <c r="B106" s="176" t="s">
        <v>263</v>
      </c>
      <c r="C106" s="170" t="s">
        <v>2723</v>
      </c>
      <c r="D106" s="170" t="str">
        <f>VLOOKUP(B106,'HECVAT - Full | Vendor Response'!A$4:D$320,4,TRUE)</f>
        <v>Weave Education utilizes DNSSEC with redundant DNS, and backps and multiple available zones in AWS.</v>
      </c>
      <c r="E106" s="187" t="s">
        <v>115</v>
      </c>
      <c r="F106" s="187" t="s">
        <v>2724</v>
      </c>
      <c r="G106" s="187" t="s">
        <v>2725</v>
      </c>
      <c r="H106" s="175" t="s">
        <v>2726</v>
      </c>
      <c r="I106" s="175" t="s">
        <v>2727</v>
      </c>
      <c r="J106" s="266" t="str">
        <f t="shared" si="9"/>
        <v>TRUE</v>
      </c>
      <c r="K106" s="173">
        <f t="shared" si="12"/>
        <v>1</v>
      </c>
      <c r="L106" s="266" t="s">
        <v>2685</v>
      </c>
      <c r="M106" s="267" t="s">
        <v>102</v>
      </c>
      <c r="N106" s="267" t="str">
        <f>VLOOKUP(B106,'HECVAT - Full | Vendor Response'!A:E,3,FALSE)</f>
        <v>Yes</v>
      </c>
      <c r="O106" s="267" t="str">
        <f>IF(LEN(VLOOKUP(B106,'Analyst Report'!$A:$I,7,FALSE))= 0,"",VLOOKUP(B106,'Analyst Report'!$A:$I,7,FALSE))</f>
        <v/>
      </c>
      <c r="P106" s="267">
        <f t="shared" si="7"/>
        <v>1</v>
      </c>
      <c r="Q106" s="267">
        <v>25</v>
      </c>
      <c r="R106" s="267">
        <f>IF(LEN(VLOOKUP(B106,'Analyst Report'!$A$31:$I$288,9,FALSE))=0,VLOOKUP(B106,'Analyst Report'!$A$31:$I$288,8,FALSE),VLOOKUP(B106,'Analyst Report'!$A$31:$I$288,9,FALSE))</f>
        <v>25</v>
      </c>
      <c r="S106" s="267">
        <f t="shared" si="10"/>
        <v>25</v>
      </c>
      <c r="T106" s="267">
        <f t="shared" si="8"/>
        <v>25</v>
      </c>
      <c r="U106" s="164" t="s">
        <v>115</v>
      </c>
      <c r="V106" s="164" t="s">
        <v>115</v>
      </c>
      <c r="W106" s="164" t="s">
        <v>115</v>
      </c>
      <c r="X106" s="164" t="s">
        <v>115</v>
      </c>
      <c r="Y106" s="164" t="s">
        <v>115</v>
      </c>
      <c r="Z106" s="164" t="s">
        <v>115</v>
      </c>
      <c r="AA106" s="164" t="s">
        <v>115</v>
      </c>
      <c r="AB106" s="164" t="s">
        <v>115</v>
      </c>
    </row>
    <row r="107" spans="1:28" ht="180">
      <c r="A107" s="169">
        <f t="shared" si="11"/>
        <v>90</v>
      </c>
      <c r="B107" s="176" t="s">
        <v>266</v>
      </c>
      <c r="C107" s="170" t="s">
        <v>2728</v>
      </c>
      <c r="D107" s="170" t="str">
        <f>VLOOKUP(B107,'HECVAT - Full | Vendor Response'!A$4:D$320,4,TRUE)</f>
        <v xml:space="preserve">Weave Education maintains a Change Control team that meets weekly in sprint kick-off meetings and daily for scrums. As part of the Change Control team, the Security Manager provides a Security Review for each release and a quarterly audit of release tickets. All system changes are tested and validated on the staging environment before releasing to production. </v>
      </c>
      <c r="E107" s="187" t="s">
        <v>115</v>
      </c>
      <c r="F107" s="187" t="s">
        <v>2729</v>
      </c>
      <c r="G107" s="187" t="s">
        <v>2730</v>
      </c>
      <c r="H107" s="181" t="s">
        <v>2731</v>
      </c>
      <c r="I107" s="181" t="s">
        <v>2732</v>
      </c>
      <c r="J107" s="266" t="str">
        <f t="shared" si="9"/>
        <v>FALSE</v>
      </c>
      <c r="K107" s="173">
        <v>1</v>
      </c>
      <c r="L107" s="266" t="s">
        <v>265</v>
      </c>
      <c r="M107" s="267" t="s">
        <v>102</v>
      </c>
      <c r="N107" s="267" t="str">
        <f>VLOOKUP(B107,'HECVAT - Full | Vendor Response'!A:E,3,FALSE)</f>
        <v>Yes</v>
      </c>
      <c r="O107" s="267" t="str">
        <f>IF(LEN(VLOOKUP(B107,'Analyst Report'!$A:$I,7,FALSE))= 0,"",VLOOKUP(B107,'Analyst Report'!$A:$I,7,FALSE))</f>
        <v/>
      </c>
      <c r="P107" s="267">
        <f t="shared" si="7"/>
        <v>1</v>
      </c>
      <c r="Q107" s="267">
        <v>20</v>
      </c>
      <c r="R107" s="267">
        <f>IF(LEN(VLOOKUP(B107,'Analyst Report'!$A$31:$I$288,9,FALSE))=0,VLOOKUP(B107,'Analyst Report'!$A$31:$I$288,8,FALSE),VLOOKUP(B107,'Analyst Report'!$A$31:$I$288,9,FALSE))</f>
        <v>20</v>
      </c>
      <c r="S107" s="267">
        <f t="shared" si="10"/>
        <v>20</v>
      </c>
      <c r="T107" s="267">
        <f t="shared" si="8"/>
        <v>20</v>
      </c>
      <c r="U107" s="164" t="s">
        <v>115</v>
      </c>
      <c r="V107" s="164" t="s">
        <v>115</v>
      </c>
      <c r="W107" s="164" t="s">
        <v>115</v>
      </c>
      <c r="X107" s="164" t="s">
        <v>115</v>
      </c>
      <c r="Y107" s="164" t="s">
        <v>115</v>
      </c>
      <c r="Z107" s="164" t="s">
        <v>115</v>
      </c>
      <c r="AA107" s="164" t="s">
        <v>115</v>
      </c>
      <c r="AB107" s="164" t="s">
        <v>115</v>
      </c>
    </row>
    <row r="108" spans="1:28" ht="90">
      <c r="A108" s="169">
        <f t="shared" si="11"/>
        <v>91</v>
      </c>
      <c r="B108" s="176" t="s">
        <v>268</v>
      </c>
      <c r="C108" s="170" t="s">
        <v>2733</v>
      </c>
      <c r="D108" s="170" t="str">
        <f>VLOOKUP(B108,'HECVAT - Full | Vendor Response'!A$4:D$320,4,TRUE)</f>
        <v>Weave's change management process requires that all third-party libraries and dependencies are still supposed before any major platofrm change is released to production.</v>
      </c>
      <c r="E108" s="187" t="s">
        <v>115</v>
      </c>
      <c r="F108" s="187" t="s">
        <v>2734</v>
      </c>
      <c r="G108" s="187" t="s">
        <v>2735</v>
      </c>
      <c r="H108" s="181" t="s">
        <v>2736</v>
      </c>
      <c r="I108" s="177" t="s">
        <v>2690</v>
      </c>
      <c r="J108" s="266" t="str">
        <f t="shared" si="9"/>
        <v>FALSE</v>
      </c>
      <c r="K108" s="173">
        <v>1</v>
      </c>
      <c r="L108" s="266" t="s">
        <v>265</v>
      </c>
      <c r="M108" s="267" t="s">
        <v>102</v>
      </c>
      <c r="N108" s="267" t="str">
        <f>VLOOKUP(B108,'HECVAT - Full | Vendor Response'!A:E,3,FALSE)</f>
        <v>Yes</v>
      </c>
      <c r="O108" s="267" t="str">
        <f>IF(LEN(VLOOKUP(B108,'Analyst Report'!$A:$I,7,FALSE))= 0,"",VLOOKUP(B108,'Analyst Report'!$A:$I,7,FALSE))</f>
        <v/>
      </c>
      <c r="P108" s="267">
        <f t="shared" si="7"/>
        <v>1</v>
      </c>
      <c r="Q108" s="267">
        <v>20</v>
      </c>
      <c r="R108" s="267">
        <f>IF(LEN(VLOOKUP(B108,'Analyst Report'!$A$31:$I$288,9,FALSE))=0,VLOOKUP(B108,'Analyst Report'!$A$31:$I$288,8,FALSE),VLOOKUP(B108,'Analyst Report'!$A$31:$I$288,9,FALSE))</f>
        <v>20</v>
      </c>
      <c r="S108" s="267">
        <f t="shared" si="10"/>
        <v>20</v>
      </c>
      <c r="T108" s="267">
        <f t="shared" si="8"/>
        <v>20</v>
      </c>
      <c r="U108" s="164" t="s">
        <v>115</v>
      </c>
      <c r="V108" s="164" t="s">
        <v>115</v>
      </c>
      <c r="W108" s="164" t="s">
        <v>115</v>
      </c>
      <c r="X108" s="164" t="s">
        <v>115</v>
      </c>
      <c r="Y108" s="164" t="s">
        <v>115</v>
      </c>
      <c r="Z108" s="164" t="s">
        <v>115</v>
      </c>
      <c r="AA108" s="164" t="s">
        <v>115</v>
      </c>
      <c r="AB108" s="164" t="s">
        <v>115</v>
      </c>
    </row>
    <row r="109" spans="1:28" ht="120">
      <c r="A109" s="169">
        <f t="shared" si="11"/>
        <v>92</v>
      </c>
      <c r="B109" s="176" t="s">
        <v>270</v>
      </c>
      <c r="C109" s="170" t="s">
        <v>2737</v>
      </c>
      <c r="D109" s="170" t="str">
        <f>VLOOKUP(B109,'HECVAT - Full | Vendor Response'!A$4:D$320,4,TRUE)</f>
        <v>Any major change to the Weave platform that afftects its security posture will be reported to institutions and to TX-RAMP.</v>
      </c>
      <c r="E109" s="187" t="s">
        <v>115</v>
      </c>
      <c r="F109" s="187" t="s">
        <v>2738</v>
      </c>
      <c r="G109" s="187" t="s">
        <v>2739</v>
      </c>
      <c r="H109" s="177" t="s">
        <v>2740</v>
      </c>
      <c r="I109" s="177" t="s">
        <v>2690</v>
      </c>
      <c r="J109" s="266" t="str">
        <f t="shared" si="9"/>
        <v>TRUE</v>
      </c>
      <c r="K109" s="173">
        <v>1</v>
      </c>
      <c r="L109" s="266" t="s">
        <v>265</v>
      </c>
      <c r="M109" s="267" t="s">
        <v>102</v>
      </c>
      <c r="N109" s="267" t="str">
        <f>VLOOKUP(B109,'HECVAT - Full | Vendor Response'!A:E,3,FALSE)</f>
        <v>Yes</v>
      </c>
      <c r="O109" s="267" t="str">
        <f>IF(LEN(VLOOKUP(B109,'Analyst Report'!$A:$I,7,FALSE))= 0,"",VLOOKUP(B109,'Analyst Report'!$A:$I,7,FALSE))</f>
        <v/>
      </c>
      <c r="P109" s="267">
        <f t="shared" si="7"/>
        <v>1</v>
      </c>
      <c r="Q109" s="267">
        <v>25</v>
      </c>
      <c r="R109" s="267">
        <f>IF(LEN(VLOOKUP(B109,'Analyst Report'!$A$31:$I$288,9,FALSE))=0,VLOOKUP(B109,'Analyst Report'!$A$31:$I$288,8,FALSE),VLOOKUP(B109,'Analyst Report'!$A$31:$I$288,9,FALSE))</f>
        <v>25</v>
      </c>
      <c r="S109" s="267">
        <f t="shared" si="10"/>
        <v>25</v>
      </c>
      <c r="T109" s="267">
        <f t="shared" si="8"/>
        <v>25</v>
      </c>
      <c r="U109" s="164" t="s">
        <v>115</v>
      </c>
      <c r="V109" s="164" t="s">
        <v>115</v>
      </c>
      <c r="W109" s="164" t="s">
        <v>115</v>
      </c>
      <c r="X109" s="164" t="s">
        <v>115</v>
      </c>
      <c r="Y109" s="164" t="s">
        <v>115</v>
      </c>
      <c r="Z109" s="164" t="s">
        <v>115</v>
      </c>
      <c r="AA109" s="164" t="s">
        <v>115</v>
      </c>
      <c r="AB109" s="164" t="s">
        <v>115</v>
      </c>
    </row>
    <row r="110" spans="1:28" ht="225">
      <c r="A110" s="169">
        <f t="shared" si="11"/>
        <v>93</v>
      </c>
      <c r="B110" s="176" t="s">
        <v>272</v>
      </c>
      <c r="C110" s="170" t="s">
        <v>2741</v>
      </c>
      <c r="D110" s="170" t="str">
        <f>VLOOKUP(B110,'HECVAT - Full | Vendor Response'!A$4:D$320,4,TRUE)</f>
        <v>Weave has only one production environment and upgrades are performed for all customers.</v>
      </c>
      <c r="E110" s="187" t="s">
        <v>115</v>
      </c>
      <c r="F110" s="187" t="s">
        <v>2742</v>
      </c>
      <c r="G110" s="187" t="s">
        <v>2743</v>
      </c>
      <c r="H110" s="181" t="s">
        <v>2744</v>
      </c>
      <c r="I110" s="181" t="s">
        <v>2745</v>
      </c>
      <c r="J110" s="266" t="str">
        <f t="shared" si="9"/>
        <v>FALSE</v>
      </c>
      <c r="K110" s="173">
        <v>1</v>
      </c>
      <c r="L110" s="266" t="s">
        <v>265</v>
      </c>
      <c r="M110" s="267" t="s">
        <v>102</v>
      </c>
      <c r="N110" s="267" t="str">
        <f>VLOOKUP(B110,'HECVAT - Full | Vendor Response'!A:E,3,FALSE)</f>
        <v>No</v>
      </c>
      <c r="O110" s="267" t="str">
        <f>IF(LEN(VLOOKUP(B110,'Analyst Report'!$A:$I,7,FALSE))= 0,"",VLOOKUP(B110,'Analyst Report'!$A:$I,7,FALSE))</f>
        <v/>
      </c>
      <c r="P110" s="267">
        <f t="shared" si="7"/>
        <v>0</v>
      </c>
      <c r="Q110" s="267">
        <v>10</v>
      </c>
      <c r="R110" s="267">
        <f>IF(LEN(VLOOKUP(B110,'Analyst Report'!$A$31:$I$288,9,FALSE))=0,VLOOKUP(B110,'Analyst Report'!$A$31:$I$288,8,FALSE),VLOOKUP(B110,'Analyst Report'!$A$31:$I$288,9,FALSE))</f>
        <v>10</v>
      </c>
      <c r="S110" s="267">
        <f t="shared" si="10"/>
        <v>10</v>
      </c>
      <c r="T110" s="267">
        <f t="shared" si="8"/>
        <v>0</v>
      </c>
      <c r="U110" s="164" t="s">
        <v>115</v>
      </c>
      <c r="V110" s="164" t="s">
        <v>115</v>
      </c>
      <c r="W110" s="164" t="s">
        <v>115</v>
      </c>
      <c r="X110" s="164" t="s">
        <v>115</v>
      </c>
      <c r="Y110" s="164" t="s">
        <v>115</v>
      </c>
      <c r="Z110" s="164" t="s">
        <v>115</v>
      </c>
      <c r="AA110" s="164" t="s">
        <v>115</v>
      </c>
      <c r="AB110" s="164" t="s">
        <v>115</v>
      </c>
    </row>
    <row r="111" spans="1:28" ht="105">
      <c r="A111" s="169">
        <f t="shared" si="11"/>
        <v>94</v>
      </c>
      <c r="B111" s="176" t="s">
        <v>274</v>
      </c>
      <c r="C111" s="170" t="s">
        <v>2746</v>
      </c>
      <c r="D111" s="170" t="str">
        <f>VLOOKUP(B111,'HECVAT - Full | Vendor Response'!A$4:D$320,4,TRUE)</f>
        <v>Weave only supports the most current version of Weave.</v>
      </c>
      <c r="E111" s="187" t="s">
        <v>2747</v>
      </c>
      <c r="F111" s="187" t="s">
        <v>2748</v>
      </c>
      <c r="G111" s="187" t="s">
        <v>2749</v>
      </c>
      <c r="H111" s="181" t="s">
        <v>2750</v>
      </c>
      <c r="I111" s="181" t="s">
        <v>2751</v>
      </c>
      <c r="J111" s="266" t="str">
        <f t="shared" si="9"/>
        <v>FALSE</v>
      </c>
      <c r="K111" s="173">
        <v>1</v>
      </c>
      <c r="L111" s="266" t="s">
        <v>265</v>
      </c>
      <c r="M111" s="267" t="s">
        <v>102</v>
      </c>
      <c r="N111" s="267" t="str">
        <f>VLOOKUP(B111,'HECVAT - Full | Vendor Response'!A:E,3,FALSE)</f>
        <v>Yes</v>
      </c>
      <c r="O111" s="267" t="str">
        <f>IF(LEN(VLOOKUP(B111,'Analyst Report'!$A:$I,7,FALSE))= 0,"",VLOOKUP(B111,'Analyst Report'!$A:$I,7,FALSE))</f>
        <v/>
      </c>
      <c r="P111" s="267">
        <f t="shared" si="7"/>
        <v>1</v>
      </c>
      <c r="Q111" s="267">
        <v>15</v>
      </c>
      <c r="R111" s="267">
        <f>IF(LEN(VLOOKUP(B111,'Analyst Report'!$A$31:$I$288,9,FALSE))=0,VLOOKUP(B111,'Analyst Report'!$A$31:$I$288,8,FALSE),VLOOKUP(B111,'Analyst Report'!$A$31:$I$288,9,FALSE))</f>
        <v>15</v>
      </c>
      <c r="S111" s="267">
        <f t="shared" si="10"/>
        <v>15</v>
      </c>
      <c r="T111" s="267">
        <f t="shared" si="8"/>
        <v>15</v>
      </c>
      <c r="U111" s="164" t="s">
        <v>115</v>
      </c>
      <c r="V111" s="164" t="s">
        <v>115</v>
      </c>
      <c r="W111" s="164" t="s">
        <v>115</v>
      </c>
      <c r="X111" s="164" t="s">
        <v>115</v>
      </c>
      <c r="Y111" s="164" t="s">
        <v>115</v>
      </c>
      <c r="Z111" s="164" t="s">
        <v>115</v>
      </c>
      <c r="AA111" s="164" t="s">
        <v>115</v>
      </c>
      <c r="AB111" s="164" t="s">
        <v>115</v>
      </c>
    </row>
    <row r="112" spans="1:28" ht="225">
      <c r="A112" s="169">
        <f t="shared" si="11"/>
        <v>95</v>
      </c>
      <c r="B112" s="176" t="s">
        <v>276</v>
      </c>
      <c r="C112" s="170" t="s">
        <v>2752</v>
      </c>
      <c r="D112" s="170" t="str">
        <f>VLOOKUP(B112,'HECVAT - Full | Vendor Response'!A$4:D$320,4,TRUE)</f>
        <v>Client customizations are kept and supported from one release to another.</v>
      </c>
      <c r="E112" s="187" t="s">
        <v>2753</v>
      </c>
      <c r="F112" s="187" t="s">
        <v>2754</v>
      </c>
      <c r="G112" s="187" t="s">
        <v>2755</v>
      </c>
      <c r="H112" s="181" t="s">
        <v>2756</v>
      </c>
      <c r="I112" s="181" t="s">
        <v>2757</v>
      </c>
      <c r="J112" s="266" t="str">
        <f t="shared" si="9"/>
        <v>TRUE</v>
      </c>
      <c r="K112" s="173">
        <v>1</v>
      </c>
      <c r="L112" s="266" t="s">
        <v>265</v>
      </c>
      <c r="M112" s="267" t="s">
        <v>102</v>
      </c>
      <c r="N112" s="267" t="str">
        <f>VLOOKUP(B112,'HECVAT - Full | Vendor Response'!A:E,3,FALSE)</f>
        <v>Yes</v>
      </c>
      <c r="O112" s="267" t="str">
        <f>IF(LEN(VLOOKUP(B112,'Analyst Report'!$A:$I,7,FALSE))= 0,"",VLOOKUP(B112,'Analyst Report'!$A:$I,7,FALSE))</f>
        <v/>
      </c>
      <c r="P112" s="267">
        <f t="shared" si="7"/>
        <v>1</v>
      </c>
      <c r="Q112" s="267">
        <v>25</v>
      </c>
      <c r="R112" s="267">
        <f>IF(LEN(VLOOKUP(B112,'Analyst Report'!$A$31:$I$288,9,FALSE))=0,VLOOKUP(B112,'Analyst Report'!$A$31:$I$288,8,FALSE),VLOOKUP(B112,'Analyst Report'!$A$31:$I$288,9,FALSE))</f>
        <v>25</v>
      </c>
      <c r="S112" s="267">
        <f t="shared" si="10"/>
        <v>25</v>
      </c>
      <c r="T112" s="267">
        <f t="shared" si="8"/>
        <v>25</v>
      </c>
      <c r="U112" s="164" t="s">
        <v>115</v>
      </c>
      <c r="V112" s="164" t="s">
        <v>115</v>
      </c>
      <c r="W112" s="164" t="s">
        <v>115</v>
      </c>
      <c r="X112" s="164" t="s">
        <v>115</v>
      </c>
      <c r="Y112" s="164" t="s">
        <v>115</v>
      </c>
      <c r="Z112" s="164" t="s">
        <v>115</v>
      </c>
      <c r="AA112" s="164" t="s">
        <v>115</v>
      </c>
      <c r="AB112" s="164" t="s">
        <v>115</v>
      </c>
    </row>
    <row r="113" spans="1:28" ht="105">
      <c r="A113" s="169">
        <f t="shared" si="11"/>
        <v>96</v>
      </c>
      <c r="B113" s="176" t="s">
        <v>278</v>
      </c>
      <c r="C113" s="170" t="s">
        <v>2758</v>
      </c>
      <c r="D113" s="170" t="str">
        <f>VLOOKUP(B113,'HECVAT - Full | Vendor Response'!A$4:D$320,4,TRUE)</f>
        <v>Weave maintains an agile sprint and releases iterative updates once per week.</v>
      </c>
      <c r="E113" s="187" t="s">
        <v>115</v>
      </c>
      <c r="F113" s="187" t="s">
        <v>2759</v>
      </c>
      <c r="G113" s="187" t="s">
        <v>2760</v>
      </c>
      <c r="H113" s="181" t="s">
        <v>2761</v>
      </c>
      <c r="I113" s="181" t="s">
        <v>2762</v>
      </c>
      <c r="J113" s="266" t="str">
        <f t="shared" si="9"/>
        <v>FALSE</v>
      </c>
      <c r="K113" s="173">
        <v>1</v>
      </c>
      <c r="L113" s="266" t="s">
        <v>265</v>
      </c>
      <c r="M113" s="267" t="s">
        <v>102</v>
      </c>
      <c r="N113" s="267" t="str">
        <f>VLOOKUP(B113,'HECVAT - Full | Vendor Response'!A:E,3,FALSE)</f>
        <v>Yes</v>
      </c>
      <c r="O113" s="267" t="str">
        <f>IF(LEN(VLOOKUP(B113,'Analyst Report'!$A:$I,7,FALSE))= 0,"",VLOOKUP(B113,'Analyst Report'!$A:$I,7,FALSE))</f>
        <v/>
      </c>
      <c r="P113" s="267">
        <f t="shared" si="7"/>
        <v>1</v>
      </c>
      <c r="Q113" s="267">
        <v>15</v>
      </c>
      <c r="R113" s="267">
        <f>IF(LEN(VLOOKUP(B113,'Analyst Report'!$A$31:$I$288,9,FALSE))=0,VLOOKUP(B113,'Analyst Report'!$A$31:$I$288,8,FALSE),VLOOKUP(B113,'Analyst Report'!$A$31:$I$288,9,FALSE))</f>
        <v>15</v>
      </c>
      <c r="S113" s="267">
        <f t="shared" si="10"/>
        <v>15</v>
      </c>
      <c r="T113" s="267">
        <f t="shared" si="8"/>
        <v>15</v>
      </c>
      <c r="U113" s="164" t="s">
        <v>115</v>
      </c>
      <c r="V113" s="164" t="s">
        <v>115</v>
      </c>
      <c r="W113" s="164" t="s">
        <v>115</v>
      </c>
      <c r="X113" s="164" t="s">
        <v>115</v>
      </c>
      <c r="Y113" s="164" t="s">
        <v>115</v>
      </c>
      <c r="Z113" s="164" t="s">
        <v>115</v>
      </c>
      <c r="AA113" s="164" t="s">
        <v>115</v>
      </c>
      <c r="AB113" s="164" t="s">
        <v>115</v>
      </c>
    </row>
    <row r="114" spans="1:28" ht="90">
      <c r="A114" s="169">
        <f t="shared" si="11"/>
        <v>97</v>
      </c>
      <c r="B114" s="176" t="s">
        <v>280</v>
      </c>
      <c r="C114" s="170" t="s">
        <v>2763</v>
      </c>
      <c r="D114" s="170" t="str">
        <f>VLOOKUP(B114,'HECVAT - Full | Vendor Response'!A$4:D$320,4,TRUE)</f>
        <v>The product roadmap is available upon request.</v>
      </c>
      <c r="E114" s="187" t="s">
        <v>115</v>
      </c>
      <c r="F114" s="187" t="s">
        <v>2764</v>
      </c>
      <c r="G114" s="187" t="s">
        <v>2765</v>
      </c>
      <c r="H114" s="181" t="s">
        <v>2766</v>
      </c>
      <c r="I114" s="181" t="s">
        <v>2767</v>
      </c>
      <c r="J114" s="266" t="str">
        <f t="shared" si="9"/>
        <v>FALSE</v>
      </c>
      <c r="K114" s="173">
        <v>1</v>
      </c>
      <c r="L114" s="266" t="s">
        <v>265</v>
      </c>
      <c r="M114" s="267" t="s">
        <v>102</v>
      </c>
      <c r="N114" s="267" t="str">
        <f>VLOOKUP(B114,'HECVAT - Full | Vendor Response'!A:E,3,FALSE)</f>
        <v>Yes</v>
      </c>
      <c r="O114" s="267" t="str">
        <f>IF(LEN(VLOOKUP(B114,'Analyst Report'!$A:$I,7,FALSE))= 0,"",VLOOKUP(B114,'Analyst Report'!$A:$I,7,FALSE))</f>
        <v/>
      </c>
      <c r="P114" s="267">
        <f t="shared" si="7"/>
        <v>1</v>
      </c>
      <c r="Q114" s="267">
        <v>15</v>
      </c>
      <c r="R114" s="267">
        <f>IF(LEN(VLOOKUP(B114,'Analyst Report'!$A$31:$I$288,9,FALSE))=0,VLOOKUP(B114,'Analyst Report'!$A$31:$I$288,8,FALSE),VLOOKUP(B114,'Analyst Report'!$A$31:$I$288,9,FALSE))</f>
        <v>15</v>
      </c>
      <c r="S114" s="267">
        <f t="shared" si="10"/>
        <v>15</v>
      </c>
      <c r="T114" s="267">
        <f t="shared" si="8"/>
        <v>15</v>
      </c>
      <c r="U114" s="164" t="s">
        <v>115</v>
      </c>
      <c r="V114" s="164" t="s">
        <v>115</v>
      </c>
      <c r="W114" s="164" t="s">
        <v>115</v>
      </c>
      <c r="X114" s="164" t="s">
        <v>115</v>
      </c>
      <c r="Y114" s="164" t="s">
        <v>115</v>
      </c>
      <c r="Z114" s="164" t="s">
        <v>115</v>
      </c>
      <c r="AA114" s="164" t="s">
        <v>115</v>
      </c>
      <c r="AB114" s="164" t="s">
        <v>115</v>
      </c>
    </row>
    <row r="115" spans="1:28" ht="225">
      <c r="A115" s="169">
        <f t="shared" si="11"/>
        <v>98</v>
      </c>
      <c r="B115" s="176" t="s">
        <v>282</v>
      </c>
      <c r="C115" s="170" t="s">
        <v>2768</v>
      </c>
      <c r="D115" s="170" t="str">
        <f>VLOOKUP(B115,'HECVAT - Full | Vendor Response'!A$4:D$320,4,TRUE)</f>
        <v>While institutional involvement is not usually reuiqed during product updates, occasionally instutitons wil be brought in as beta testers or for feedback on future updates.</v>
      </c>
      <c r="E115" s="187" t="s">
        <v>115</v>
      </c>
      <c r="F115" s="187" t="s">
        <v>115</v>
      </c>
      <c r="G115" s="187" t="s">
        <v>2769</v>
      </c>
      <c r="H115" s="181" t="s">
        <v>2770</v>
      </c>
      <c r="I115" s="181" t="s">
        <v>2771</v>
      </c>
      <c r="J115" s="266" t="str">
        <f t="shared" si="9"/>
        <v>FALSE</v>
      </c>
      <c r="K115" s="173">
        <v>1</v>
      </c>
      <c r="L115" s="266" t="s">
        <v>265</v>
      </c>
      <c r="M115" s="267" t="s">
        <v>100</v>
      </c>
      <c r="N115" s="267" t="str">
        <f>VLOOKUP(B115,'HECVAT - Full | Vendor Response'!A:E,3,FALSE)</f>
        <v>No</v>
      </c>
      <c r="O115" s="267" t="str">
        <f>IF(LEN(VLOOKUP(B115,'Analyst Report'!$A:$I,7,FALSE))= 0,"",VLOOKUP(B115,'Analyst Report'!$A:$I,7,FALSE))</f>
        <v/>
      </c>
      <c r="P115" s="267">
        <f t="shared" si="7"/>
        <v>1</v>
      </c>
      <c r="Q115" s="267">
        <v>15</v>
      </c>
      <c r="R115" s="267">
        <f>IF(LEN(VLOOKUP(B115,'Analyst Report'!$A$31:$I$288,9,FALSE))=0,VLOOKUP(B115,'Analyst Report'!$A$31:$I$288,8,FALSE),VLOOKUP(B115,'Analyst Report'!$A$31:$I$288,9,FALSE))</f>
        <v>15</v>
      </c>
      <c r="S115" s="267">
        <f t="shared" si="10"/>
        <v>15</v>
      </c>
      <c r="T115" s="267">
        <f t="shared" si="8"/>
        <v>15</v>
      </c>
      <c r="U115" s="164" t="s">
        <v>115</v>
      </c>
      <c r="V115" s="164" t="s">
        <v>115</v>
      </c>
      <c r="W115" s="164" t="s">
        <v>115</v>
      </c>
      <c r="X115" s="164" t="s">
        <v>115</v>
      </c>
      <c r="Y115" s="164" t="s">
        <v>115</v>
      </c>
      <c r="Z115" s="164" t="s">
        <v>115</v>
      </c>
      <c r="AA115" s="164" t="s">
        <v>115</v>
      </c>
      <c r="AB115" s="164" t="s">
        <v>115</v>
      </c>
    </row>
    <row r="116" spans="1:28" ht="90">
      <c r="A116" s="169">
        <f t="shared" si="11"/>
        <v>99</v>
      </c>
      <c r="B116" s="176" t="s">
        <v>284</v>
      </c>
      <c r="C116" s="170" t="s">
        <v>2772</v>
      </c>
      <c r="D116" s="170" t="str">
        <f>VLOOKUP(B116,'HECVAT - Full | Vendor Response'!A$4:D$320,4,TRUE)</f>
        <v xml:space="preserve">Weave Education defines the following types of changes as configuration controlled (See Change Control Process) for the platform.  
Adding new components (software or services)   
Modifying configuration settings to existing components   
Applying patches / fixes to components (software or services)  
Adding hardware components to the Weave Platform  
Defining new roles and/or permissions to manage and support the system from AWS  
Adding or updating application code  </v>
      </c>
      <c r="E116" s="187" t="s">
        <v>115</v>
      </c>
      <c r="F116" s="187" t="s">
        <v>2773</v>
      </c>
      <c r="G116" s="187" t="s">
        <v>2774</v>
      </c>
      <c r="H116" s="181" t="s">
        <v>2775</v>
      </c>
      <c r="I116" s="181" t="s">
        <v>2776</v>
      </c>
      <c r="J116" s="266" t="str">
        <f t="shared" si="9"/>
        <v>FALSE</v>
      </c>
      <c r="K116" s="173">
        <v>1</v>
      </c>
      <c r="L116" s="266" t="s">
        <v>265</v>
      </c>
      <c r="M116" s="267" t="s">
        <v>102</v>
      </c>
      <c r="N116" s="267" t="str">
        <f>VLOOKUP(B116,'HECVAT - Full | Vendor Response'!A:E,3,FALSE)</f>
        <v>Yes</v>
      </c>
      <c r="O116" s="267" t="str">
        <f>IF(LEN(VLOOKUP(B116,'Analyst Report'!$A:$I,7,FALSE))= 0,"",VLOOKUP(B116,'Analyst Report'!$A:$I,7,FALSE))</f>
        <v/>
      </c>
      <c r="P116" s="267">
        <f t="shared" si="7"/>
        <v>1</v>
      </c>
      <c r="Q116" s="267">
        <v>20</v>
      </c>
      <c r="R116" s="267">
        <f>IF(LEN(VLOOKUP(B116,'Analyst Report'!$A$31:$I$288,9,FALSE))=0,VLOOKUP(B116,'Analyst Report'!$A$31:$I$288,8,FALSE),VLOOKUP(B116,'Analyst Report'!$A$31:$I$288,9,FALSE))</f>
        <v>20</v>
      </c>
      <c r="S116" s="267">
        <f t="shared" si="10"/>
        <v>20</v>
      </c>
      <c r="T116" s="267">
        <f t="shared" si="8"/>
        <v>20</v>
      </c>
      <c r="U116" s="164" t="s">
        <v>115</v>
      </c>
      <c r="V116" s="164" t="s">
        <v>115</v>
      </c>
      <c r="W116" s="164" t="s">
        <v>115</v>
      </c>
      <c r="X116" s="164" t="s">
        <v>115</v>
      </c>
      <c r="Y116" s="164" t="s">
        <v>115</v>
      </c>
      <c r="Z116" s="164" t="s">
        <v>115</v>
      </c>
      <c r="AA116" s="164" t="s">
        <v>115</v>
      </c>
      <c r="AB116" s="164" t="s">
        <v>115</v>
      </c>
    </row>
    <row r="117" spans="1:28" ht="165">
      <c r="A117" s="169">
        <f t="shared" si="11"/>
        <v>100</v>
      </c>
      <c r="B117" s="176" t="s">
        <v>286</v>
      </c>
      <c r="C117" s="170" t="s">
        <v>2777</v>
      </c>
      <c r="D117" s="170" t="str">
        <f>VLOOKUP(B117,'HECVAT - Full | Vendor Response'!A$4:D$320,4,TRUE)</f>
        <v>Weave security manager conducts a weekly vulnerability scan and report. A list of security patches are assessed for risk and priroitized based on risk factor.</v>
      </c>
      <c r="E117" s="165" t="s">
        <v>115</v>
      </c>
      <c r="F117" s="165" t="s">
        <v>2778</v>
      </c>
      <c r="G117" s="165" t="s">
        <v>2779</v>
      </c>
      <c r="H117" s="177" t="s">
        <v>2780</v>
      </c>
      <c r="I117" s="177" t="s">
        <v>2781</v>
      </c>
      <c r="J117" s="266" t="str">
        <f t="shared" si="9"/>
        <v>FALSE</v>
      </c>
      <c r="K117" s="173">
        <v>1</v>
      </c>
      <c r="L117" s="266" t="s">
        <v>265</v>
      </c>
      <c r="M117" s="267" t="s">
        <v>102</v>
      </c>
      <c r="N117" s="267" t="str">
        <f>VLOOKUP(B117,'HECVAT - Full | Vendor Response'!A:E,3,FALSE)</f>
        <v>Yes</v>
      </c>
      <c r="O117" s="267" t="str">
        <f>IF(LEN(VLOOKUP(B117,'Analyst Report'!$A:$I,7,FALSE))= 0,"",VLOOKUP(B117,'Analyst Report'!$A:$I,7,FALSE))</f>
        <v/>
      </c>
      <c r="P117" s="267">
        <f t="shared" si="7"/>
        <v>1</v>
      </c>
      <c r="Q117" s="267">
        <v>20</v>
      </c>
      <c r="R117" s="267">
        <f>IF(LEN(VLOOKUP(B117,'Analyst Report'!$A$31:$I$288,9,FALSE))=0,VLOOKUP(B117,'Analyst Report'!$A$31:$I$288,8,FALSE),VLOOKUP(B117,'Analyst Report'!$A$31:$I$288,9,FALSE))</f>
        <v>20</v>
      </c>
      <c r="S117" s="267">
        <f t="shared" si="10"/>
        <v>20</v>
      </c>
      <c r="T117" s="267">
        <f t="shared" si="8"/>
        <v>20</v>
      </c>
      <c r="U117" s="164" t="s">
        <v>115</v>
      </c>
      <c r="V117" s="164" t="s">
        <v>115</v>
      </c>
      <c r="W117" s="164" t="s">
        <v>115</v>
      </c>
      <c r="X117" s="164" t="s">
        <v>115</v>
      </c>
      <c r="Y117" s="164" t="s">
        <v>115</v>
      </c>
      <c r="Z117" s="164" t="s">
        <v>115</v>
      </c>
      <c r="AA117" s="164" t="s">
        <v>115</v>
      </c>
      <c r="AB117" s="164" t="s">
        <v>115</v>
      </c>
    </row>
    <row r="118" spans="1:28" ht="135">
      <c r="A118" s="169">
        <f t="shared" si="11"/>
        <v>101</v>
      </c>
      <c r="B118" s="176" t="s">
        <v>288</v>
      </c>
      <c r="C118" s="170" t="s">
        <v>2782</v>
      </c>
      <c r="D118" s="170" t="str">
        <f>VLOOKUP(B118,'HECVAT - Full | Vendor Response'!A$4:D$320,4,TRUE)</f>
        <v>All updates are completed in a manner that will impact customers the least.</v>
      </c>
      <c r="E118" s="187" t="s">
        <v>115</v>
      </c>
      <c r="F118" s="187" t="s">
        <v>2783</v>
      </c>
      <c r="G118" s="187" t="s">
        <v>2784</v>
      </c>
      <c r="H118" s="181" t="s">
        <v>2785</v>
      </c>
      <c r="I118" s="181" t="s">
        <v>2732</v>
      </c>
      <c r="J118" s="266" t="str">
        <f t="shared" si="9"/>
        <v>FALSE</v>
      </c>
      <c r="K118" s="173">
        <v>1</v>
      </c>
      <c r="L118" s="266" t="s">
        <v>265</v>
      </c>
      <c r="M118" s="267" t="s">
        <v>102</v>
      </c>
      <c r="N118" s="267" t="str">
        <f>VLOOKUP(B118,'HECVAT - Full | Vendor Response'!A:E,3,FALSE)</f>
        <v>Yes</v>
      </c>
      <c r="O118" s="267" t="str">
        <f>IF(LEN(VLOOKUP(B118,'Analyst Report'!$A:$I,7,FALSE))= 0,"",VLOOKUP(B118,'Analyst Report'!$A:$I,7,FALSE))</f>
        <v/>
      </c>
      <c r="P118" s="267">
        <f t="shared" si="7"/>
        <v>1</v>
      </c>
      <c r="Q118" s="267">
        <v>15</v>
      </c>
      <c r="R118" s="267">
        <f>IF(LEN(VLOOKUP(B118,'Analyst Report'!$A$31:$I$288,9,FALSE))=0,VLOOKUP(B118,'Analyst Report'!$A$31:$I$288,8,FALSE),VLOOKUP(B118,'Analyst Report'!$A$31:$I$288,9,FALSE))</f>
        <v>15</v>
      </c>
      <c r="S118" s="267">
        <f t="shared" si="10"/>
        <v>15</v>
      </c>
      <c r="T118" s="267">
        <f t="shared" si="8"/>
        <v>15</v>
      </c>
      <c r="U118" s="164" t="s">
        <v>115</v>
      </c>
      <c r="V118" s="164" t="s">
        <v>115</v>
      </c>
      <c r="W118" s="164" t="s">
        <v>115</v>
      </c>
      <c r="X118" s="164" t="s">
        <v>115</v>
      </c>
      <c r="Y118" s="164" t="s">
        <v>115</v>
      </c>
      <c r="Z118" s="164" t="s">
        <v>115</v>
      </c>
      <c r="AA118" s="164" t="s">
        <v>115</v>
      </c>
      <c r="AB118" s="164" t="s">
        <v>115</v>
      </c>
    </row>
    <row r="119" spans="1:28" ht="135">
      <c r="A119" s="169">
        <f t="shared" si="11"/>
        <v>102</v>
      </c>
      <c r="B119" s="176" t="s">
        <v>290</v>
      </c>
      <c r="C119" s="170" t="s">
        <v>2786</v>
      </c>
      <c r="D119" s="170" t="str">
        <f>VLOOKUP(B119,'HECVAT - Full | Vendor Response'!A$4:D$320,4,TRUE)</f>
        <v>Any emergency changes go through Weave's regular change management process which includes full documentation, the sprint cycle, and a security review.</v>
      </c>
      <c r="E119" s="187" t="s">
        <v>115</v>
      </c>
      <c r="F119" s="187" t="s">
        <v>2787</v>
      </c>
      <c r="G119" s="187" t="s">
        <v>2788</v>
      </c>
      <c r="H119" s="181" t="s">
        <v>2789</v>
      </c>
      <c r="I119" s="181" t="s">
        <v>2790</v>
      </c>
      <c r="J119" s="266" t="str">
        <f t="shared" si="9"/>
        <v>FALSE</v>
      </c>
      <c r="K119" s="173">
        <v>1</v>
      </c>
      <c r="L119" s="266" t="s">
        <v>265</v>
      </c>
      <c r="M119" s="267" t="s">
        <v>102</v>
      </c>
      <c r="N119" s="267" t="str">
        <f>VLOOKUP(B119,'HECVAT - Full | Vendor Response'!A:E,3,FALSE)</f>
        <v>Yes</v>
      </c>
      <c r="O119" s="267" t="str">
        <f>IF(LEN(VLOOKUP(B119,'Analyst Report'!$A:$I,7,FALSE))= 0,"",VLOOKUP(B119,'Analyst Report'!$A:$I,7,FALSE))</f>
        <v/>
      </c>
      <c r="P119" s="267">
        <f t="shared" si="7"/>
        <v>1</v>
      </c>
      <c r="Q119" s="267">
        <v>15</v>
      </c>
      <c r="R119" s="267">
        <f>IF(LEN(VLOOKUP(B119,'Analyst Report'!$A$31:$I$288,9,FALSE))=0,VLOOKUP(B119,'Analyst Report'!$A$31:$I$288,8,FALSE),VLOOKUP(B119,'Analyst Report'!$A$31:$I$288,9,FALSE))</f>
        <v>15</v>
      </c>
      <c r="S119" s="267">
        <f t="shared" si="10"/>
        <v>15</v>
      </c>
      <c r="T119" s="267">
        <f t="shared" si="8"/>
        <v>15</v>
      </c>
      <c r="U119" s="164" t="s">
        <v>115</v>
      </c>
      <c r="V119" s="164" t="s">
        <v>115</v>
      </c>
      <c r="W119" s="164" t="s">
        <v>115</v>
      </c>
      <c r="X119" s="164" t="s">
        <v>115</v>
      </c>
      <c r="Y119" s="164" t="s">
        <v>115</v>
      </c>
      <c r="Z119" s="164" t="s">
        <v>115</v>
      </c>
      <c r="AA119" s="164" t="s">
        <v>115</v>
      </c>
      <c r="AB119" s="164" t="s">
        <v>115</v>
      </c>
    </row>
    <row r="120" spans="1:28" ht="270">
      <c r="A120" s="169">
        <f t="shared" si="11"/>
        <v>103</v>
      </c>
      <c r="B120" s="170" t="s">
        <v>292</v>
      </c>
      <c r="C120" s="170" t="s">
        <v>2791</v>
      </c>
      <c r="D120" s="170" t="str">
        <f>VLOOKUP(B120,'HECVAT - Full | Vendor Response'!A$4:D$320,4,TRUE)</f>
        <v>Weave has a full change and configuration management policy and procedure.</v>
      </c>
      <c r="E120" s="265" t="s">
        <v>115</v>
      </c>
      <c r="F120" s="265" t="s">
        <v>2792</v>
      </c>
      <c r="G120" s="265" t="s">
        <v>2793</v>
      </c>
      <c r="H120" s="175" t="s">
        <v>2794</v>
      </c>
      <c r="I120" s="175" t="s">
        <v>2795</v>
      </c>
      <c r="J120" s="266" t="str">
        <f>IF(S120&gt;20,"TRUE","FALSE")</f>
        <v>TRUE</v>
      </c>
      <c r="K120" s="173">
        <v>1</v>
      </c>
      <c r="L120" s="266" t="s">
        <v>265</v>
      </c>
      <c r="M120" s="267" t="s">
        <v>102</v>
      </c>
      <c r="N120" s="267" t="str">
        <f>VLOOKUP(B120,'HECVAT - Full | Vendor Response'!A:E,3,FALSE)</f>
        <v>Yes</v>
      </c>
      <c r="O120" s="267" t="str">
        <f>IF(LEN(VLOOKUP(B120,'Analyst Report'!$A:$I,7,FALSE))= 0,"",VLOOKUP(B120,'Analyst Report'!$A:$I,7,FALSE))</f>
        <v/>
      </c>
      <c r="P120" s="267">
        <f>IF((O120=""),(IF(ISNUMBER(FIND(M120,N120)), 1, 0)),(IF(ISNUMBER(FIND(M120,O120)), 1, 0)))</f>
        <v>1</v>
      </c>
      <c r="Q120" s="267">
        <v>25</v>
      </c>
      <c r="R120" s="267">
        <f>IF(LEN(VLOOKUP(B120,'Analyst Report'!$A$31:$I$288,9,FALSE))=0,VLOOKUP(B120,'Analyst Report'!$A$31:$I$288,8,FALSE),VLOOKUP(B120,'Analyst Report'!$A$31:$I$288,9,FALSE))</f>
        <v>25</v>
      </c>
      <c r="S120" s="267">
        <f t="shared" si="10"/>
        <v>25</v>
      </c>
      <c r="T120" s="267">
        <f>P120*S120</f>
        <v>25</v>
      </c>
      <c r="U120" s="164" t="s">
        <v>115</v>
      </c>
      <c r="V120" s="164" t="s">
        <v>115</v>
      </c>
      <c r="W120" s="164" t="s">
        <v>115</v>
      </c>
      <c r="X120" s="164" t="s">
        <v>115</v>
      </c>
      <c r="Y120" s="164" t="s">
        <v>115</v>
      </c>
      <c r="Z120" s="164" t="s">
        <v>115</v>
      </c>
      <c r="AA120" s="164" t="s">
        <v>115</v>
      </c>
      <c r="AB120" s="164" t="s">
        <v>115</v>
      </c>
    </row>
    <row r="121" spans="1:28" ht="180">
      <c r="A121" s="169">
        <f t="shared" si="11"/>
        <v>104</v>
      </c>
      <c r="B121" s="170" t="s">
        <v>294</v>
      </c>
      <c r="C121" s="170" t="s">
        <v>2796</v>
      </c>
      <c r="D121" s="170" t="str">
        <f>VLOOKUP(B121,'HECVAT - Full | Vendor Response'!A$4:D$320,4,TRUE)</f>
        <v>Weave Education has a Configuration Management policy and procedure, as well as a Change Management process. These encompass all system management events and configuration strategy.</v>
      </c>
      <c r="E121" s="265" t="s">
        <v>115</v>
      </c>
      <c r="F121" s="265" t="s">
        <v>2797</v>
      </c>
      <c r="G121" s="265" t="s">
        <v>2798</v>
      </c>
      <c r="H121" s="175" t="s">
        <v>2490</v>
      </c>
      <c r="I121" s="175" t="s">
        <v>2491</v>
      </c>
      <c r="J121" s="266" t="str">
        <f>IF(S121&gt;20,"TRUE","FALSE")</f>
        <v>FALSE</v>
      </c>
      <c r="K121" s="173">
        <v>1</v>
      </c>
      <c r="L121" s="266" t="s">
        <v>2799</v>
      </c>
      <c r="M121" s="267" t="s">
        <v>102</v>
      </c>
      <c r="N121" s="267" t="str">
        <f>VLOOKUP(B121,'HECVAT - Full | Vendor Response'!A:E,3,FALSE)</f>
        <v>Yes</v>
      </c>
      <c r="O121" s="267" t="str">
        <f>IF(LEN(VLOOKUP(B121,'Analyst Report'!$A:$I,7,FALSE))= 0,"",VLOOKUP(B121,'Analyst Report'!$A:$I,7,FALSE))</f>
        <v/>
      </c>
      <c r="P121" s="267">
        <f>IF((O121=""),(IF(ISNUMBER(FIND(M121,N121)), 1, 0)),(IF(ISNUMBER(FIND(M121,O121)), 1, 0)))</f>
        <v>1</v>
      </c>
      <c r="Q121" s="267">
        <v>15</v>
      </c>
      <c r="R121" s="267">
        <f>IF(LEN(VLOOKUP(B121,'Analyst Report'!$A$31:$I$288,9,FALSE))=0,VLOOKUP(B121,'Analyst Report'!$A$31:$I$288,8,FALSE),VLOOKUP(B121,'Analyst Report'!$A$31:$I$288,9,FALSE))</f>
        <v>15</v>
      </c>
      <c r="S121" s="267">
        <f t="shared" si="10"/>
        <v>15</v>
      </c>
      <c r="T121" s="267">
        <f>P121*S121</f>
        <v>15</v>
      </c>
      <c r="U121" s="164" t="s">
        <v>115</v>
      </c>
      <c r="V121" s="164" t="s">
        <v>115</v>
      </c>
      <c r="W121" s="164" t="s">
        <v>115</v>
      </c>
      <c r="X121" s="164" t="s">
        <v>115</v>
      </c>
      <c r="Y121" s="164" t="s">
        <v>115</v>
      </c>
      <c r="Z121" s="164" t="s">
        <v>115</v>
      </c>
      <c r="AA121" s="164" t="s">
        <v>115</v>
      </c>
      <c r="AB121" s="164" t="s">
        <v>115</v>
      </c>
    </row>
    <row r="122" spans="1:28" ht="240">
      <c r="A122" s="169">
        <f t="shared" si="11"/>
        <v>105</v>
      </c>
      <c r="B122" s="170" t="s">
        <v>297</v>
      </c>
      <c r="C122" s="170" t="s">
        <v>2800</v>
      </c>
      <c r="D122" s="170" t="str">
        <f>VLOOKUP(B122,'HECVAT - Full | Vendor Response'!A$4:D$320,4,TRUE)</f>
        <v>Weave is based in AWS multi-tenant IaaS that is logically separated.</v>
      </c>
      <c r="E122" s="187" t="s">
        <v>115</v>
      </c>
      <c r="F122" s="165" t="s">
        <v>2801</v>
      </c>
      <c r="G122" s="165" t="s">
        <v>2802</v>
      </c>
      <c r="H122" s="177" t="s">
        <v>2803</v>
      </c>
      <c r="I122" s="181" t="s">
        <v>2804</v>
      </c>
      <c r="J122" s="266" t="str">
        <f t="shared" si="9"/>
        <v>FALSE</v>
      </c>
      <c r="K122" s="173">
        <v>1</v>
      </c>
      <c r="L122" s="266" t="s">
        <v>296</v>
      </c>
      <c r="M122" s="267" t="s">
        <v>102</v>
      </c>
      <c r="N122" s="267" t="str">
        <f>VLOOKUP(B122,'HECVAT - Full | Vendor Response'!A:E,3,FALSE)</f>
        <v>No</v>
      </c>
      <c r="O122" s="267" t="str">
        <f>IF(LEN(VLOOKUP(B122,'Analyst Report'!$A:$I,7,FALSE))= 0,"",VLOOKUP(B122,'Analyst Report'!$A:$I,7,FALSE))</f>
        <v/>
      </c>
      <c r="P122" s="267">
        <f t="shared" si="7"/>
        <v>0</v>
      </c>
      <c r="Q122" s="267">
        <v>15</v>
      </c>
      <c r="R122" s="267">
        <f>IF(LEN(VLOOKUP(B122,'Analyst Report'!$A$31:$I$288,9,FALSE))=0,VLOOKUP(B122,'Analyst Report'!$A$31:$I$288,8,FALSE),VLOOKUP(B122,'Analyst Report'!$A$31:$I$288,9,FALSE))</f>
        <v>15</v>
      </c>
      <c r="S122" s="267">
        <f t="shared" si="10"/>
        <v>15</v>
      </c>
      <c r="T122" s="267">
        <f t="shared" si="8"/>
        <v>0</v>
      </c>
      <c r="U122" s="164" t="s">
        <v>115</v>
      </c>
      <c r="V122" s="164" t="s">
        <v>115</v>
      </c>
      <c r="W122" s="164" t="s">
        <v>115</v>
      </c>
      <c r="X122" s="164" t="s">
        <v>115</v>
      </c>
      <c r="Y122" s="164" t="s">
        <v>115</v>
      </c>
      <c r="Z122" s="164" t="s">
        <v>115</v>
      </c>
      <c r="AA122" s="164" t="s">
        <v>115</v>
      </c>
      <c r="AB122" s="164" t="s">
        <v>115</v>
      </c>
    </row>
    <row r="123" spans="1:28" ht="135">
      <c r="A123" s="169">
        <f t="shared" si="11"/>
        <v>106</v>
      </c>
      <c r="B123" s="170" t="s">
        <v>299</v>
      </c>
      <c r="C123" s="170" t="s">
        <v>2805</v>
      </c>
      <c r="D123" s="170">
        <f>VLOOKUP(B123,'HECVAT - Full | Vendor Response'!A$4:D$320,4,TRUE)</f>
        <v>0</v>
      </c>
      <c r="E123" s="187" t="s">
        <v>115</v>
      </c>
      <c r="F123" s="187" t="s">
        <v>115</v>
      </c>
      <c r="G123" s="187" t="s">
        <v>2806</v>
      </c>
      <c r="H123" s="181" t="s">
        <v>2807</v>
      </c>
      <c r="I123" s="181" t="s">
        <v>2808</v>
      </c>
      <c r="J123" s="266" t="str">
        <f t="shared" si="9"/>
        <v>TRUE</v>
      </c>
      <c r="K123" s="173">
        <v>1</v>
      </c>
      <c r="L123" s="266" t="s">
        <v>296</v>
      </c>
      <c r="M123" s="267" t="s">
        <v>100</v>
      </c>
      <c r="N123" s="267" t="str">
        <f>VLOOKUP(B123,'HECVAT - Full | Vendor Response'!A:E,3,FALSE)</f>
        <v>No</v>
      </c>
      <c r="O123" s="267" t="str">
        <f>IF(LEN(VLOOKUP(B123,'Analyst Report'!$A:$I,7,FALSE))= 0,"",VLOOKUP(B123,'Analyst Report'!$A:$I,7,FALSE))</f>
        <v/>
      </c>
      <c r="P123" s="267">
        <f t="shared" si="7"/>
        <v>1</v>
      </c>
      <c r="Q123" s="267">
        <v>25</v>
      </c>
      <c r="R123" s="267">
        <f>IF(LEN(VLOOKUP(B123,'Analyst Report'!$A$31:$I$288,9,FALSE))=0,VLOOKUP(B123,'Analyst Report'!$A$31:$I$288,8,FALSE),VLOOKUP(B123,'Analyst Report'!$A$31:$I$288,9,FALSE))</f>
        <v>25</v>
      </c>
      <c r="S123" s="267">
        <f t="shared" si="10"/>
        <v>25</v>
      </c>
      <c r="T123" s="267">
        <f t="shared" si="8"/>
        <v>25</v>
      </c>
      <c r="U123" s="164" t="s">
        <v>115</v>
      </c>
      <c r="V123" s="164" t="s">
        <v>115</v>
      </c>
      <c r="W123" s="164" t="s">
        <v>115</v>
      </c>
      <c r="X123" s="164" t="s">
        <v>115</v>
      </c>
      <c r="Y123" s="164" t="s">
        <v>115</v>
      </c>
      <c r="Z123" s="164" t="s">
        <v>115</v>
      </c>
      <c r="AA123" s="164" t="s">
        <v>115</v>
      </c>
      <c r="AB123" s="164" t="s">
        <v>115</v>
      </c>
    </row>
    <row r="124" spans="1:28" ht="105">
      <c r="A124" s="169">
        <f t="shared" si="11"/>
        <v>107</v>
      </c>
      <c r="B124" s="170" t="s">
        <v>300</v>
      </c>
      <c r="C124" s="170" t="s">
        <v>2809</v>
      </c>
      <c r="D124" s="170" t="str">
        <f>VLOOKUP(B124,'HECVAT - Full | Vendor Response'!A$4:D$320,4,TRUE)</f>
        <v xml:space="preserve">Weave Education logically protects the confidentiality and integrity of transmitted information by employing TLS 1.3 encryption techniques. </v>
      </c>
      <c r="E124" s="165" t="s">
        <v>115</v>
      </c>
      <c r="F124" s="165" t="s">
        <v>2810</v>
      </c>
      <c r="G124" s="165" t="s">
        <v>2811</v>
      </c>
      <c r="H124" s="177" t="s">
        <v>2812</v>
      </c>
      <c r="I124" s="177" t="s">
        <v>2813</v>
      </c>
      <c r="J124" s="266" t="str">
        <f t="shared" si="9"/>
        <v>TRUE</v>
      </c>
      <c r="K124" s="173">
        <v>1</v>
      </c>
      <c r="L124" s="266" t="s">
        <v>296</v>
      </c>
      <c r="M124" s="267" t="s">
        <v>102</v>
      </c>
      <c r="N124" s="267" t="str">
        <f>VLOOKUP(B124,'HECVAT - Full | Vendor Response'!A:E,3,FALSE)</f>
        <v>Yes</v>
      </c>
      <c r="O124" s="267" t="str">
        <f>IF(LEN(VLOOKUP(B124,'Analyst Report'!$A:$I,7,FALSE))= 0,"",VLOOKUP(B124,'Analyst Report'!$A:$I,7,FALSE))</f>
        <v/>
      </c>
      <c r="P124" s="267">
        <f t="shared" si="7"/>
        <v>1</v>
      </c>
      <c r="Q124" s="267">
        <v>40</v>
      </c>
      <c r="R124" s="267">
        <f>IF(LEN(VLOOKUP(B124,'Analyst Report'!$A$31:$I$288,9,FALSE))=0,VLOOKUP(B124,'Analyst Report'!$A$31:$I$288,8,FALSE),VLOOKUP(B124,'Analyst Report'!$A$31:$I$288,9,FALSE))</f>
        <v>40</v>
      </c>
      <c r="S124" s="267">
        <f t="shared" si="10"/>
        <v>40</v>
      </c>
      <c r="T124" s="267">
        <f t="shared" si="8"/>
        <v>40</v>
      </c>
      <c r="U124" s="164" t="s">
        <v>115</v>
      </c>
      <c r="V124" s="164" t="s">
        <v>115</v>
      </c>
      <c r="W124" s="164" t="s">
        <v>115</v>
      </c>
      <c r="X124" s="164" t="s">
        <v>115</v>
      </c>
      <c r="Y124" s="164" t="s">
        <v>115</v>
      </c>
      <c r="Z124" s="164" t="s">
        <v>115</v>
      </c>
      <c r="AA124" s="164" t="s">
        <v>115</v>
      </c>
      <c r="AB124" s="164" t="s">
        <v>115</v>
      </c>
    </row>
    <row r="125" spans="1:28" ht="120">
      <c r="A125" s="169">
        <f t="shared" si="11"/>
        <v>108</v>
      </c>
      <c r="B125" s="170" t="s">
        <v>302</v>
      </c>
      <c r="C125" s="170" t="s">
        <v>2814</v>
      </c>
      <c r="D125" s="170" t="str">
        <f>VLOOKUP(B125,'HECVAT - Full | Vendor Response'!A$4:D$320,4,TRUE)</f>
        <v xml:space="preserve">Weave Education employs AWS services using AWS managed keys which are stored in AWS KMS. 
Weave Education does not permit storage of unencrypted keys related to the Weave Platform. Encryption keys related to the Weave Platform may not be stored in any service outside of the Weave Platform components.   
AWS Key Management Service is used when there is a requirement to store encryption keys.    
AWS Secrets Manager is used when there is a requirement to store secrets.  </v>
      </c>
      <c r="E125" s="165" t="s">
        <v>115</v>
      </c>
      <c r="F125" s="165" t="s">
        <v>2815</v>
      </c>
      <c r="G125" s="165" t="s">
        <v>2816</v>
      </c>
      <c r="H125" s="177" t="s">
        <v>2817</v>
      </c>
      <c r="I125" s="177" t="s">
        <v>2818</v>
      </c>
      <c r="J125" s="266" t="str">
        <f t="shared" si="9"/>
        <v>TRUE</v>
      </c>
      <c r="K125" s="173">
        <v>1</v>
      </c>
      <c r="L125" s="266" t="s">
        <v>296</v>
      </c>
      <c r="M125" s="267" t="s">
        <v>102</v>
      </c>
      <c r="N125" s="267" t="str">
        <f>VLOOKUP(B125,'HECVAT - Full | Vendor Response'!A:E,3,FALSE)</f>
        <v>Yes</v>
      </c>
      <c r="O125" s="267" t="str">
        <f>IF(LEN(VLOOKUP(B125,'Analyst Report'!$A:$I,7,FALSE))= 0,"",VLOOKUP(B125,'Analyst Report'!$A:$I,7,FALSE))</f>
        <v/>
      </c>
      <c r="P125" s="267">
        <f t="shared" si="7"/>
        <v>1</v>
      </c>
      <c r="Q125" s="267">
        <v>25</v>
      </c>
      <c r="R125" s="267">
        <f>IF(LEN(VLOOKUP(B125,'Analyst Report'!$A$31:$I$288,9,FALSE))=0,VLOOKUP(B125,'Analyst Report'!$A$31:$I$288,8,FALSE),VLOOKUP(B125,'Analyst Report'!$A$31:$I$288,9,FALSE))</f>
        <v>25</v>
      </c>
      <c r="S125" s="267">
        <f t="shared" si="10"/>
        <v>25</v>
      </c>
      <c r="T125" s="267">
        <f t="shared" si="8"/>
        <v>25</v>
      </c>
      <c r="U125" s="164" t="s">
        <v>115</v>
      </c>
      <c r="V125" s="164" t="s">
        <v>115</v>
      </c>
      <c r="W125" s="164" t="s">
        <v>115</v>
      </c>
      <c r="X125" s="164" t="s">
        <v>115</v>
      </c>
      <c r="Y125" s="164" t="s">
        <v>115</v>
      </c>
      <c r="Z125" s="164" t="s">
        <v>115</v>
      </c>
      <c r="AA125" s="164" t="s">
        <v>115</v>
      </c>
      <c r="AB125" s="164" t="s">
        <v>115</v>
      </c>
    </row>
    <row r="126" spans="1:28" ht="180">
      <c r="A126" s="169">
        <f t="shared" si="11"/>
        <v>109</v>
      </c>
      <c r="B126" s="170" t="s">
        <v>304</v>
      </c>
      <c r="C126" s="170" t="s">
        <v>2819</v>
      </c>
      <c r="D126" s="170" t="str">
        <f>VLOOKUP(B126,'HECVAT - Full | Vendor Response'!A$4:D$320,4,TRUE)</f>
        <v>AWS Key Management Service</v>
      </c>
      <c r="E126" s="187" t="s">
        <v>115</v>
      </c>
      <c r="F126" s="165" t="s">
        <v>2820</v>
      </c>
      <c r="G126" s="187" t="s">
        <v>2821</v>
      </c>
      <c r="H126" s="181" t="s">
        <v>2822</v>
      </c>
      <c r="I126" s="181" t="s">
        <v>2823</v>
      </c>
      <c r="J126" s="266" t="str">
        <f t="shared" si="9"/>
        <v>TRUE</v>
      </c>
      <c r="K126" s="173">
        <v>1</v>
      </c>
      <c r="L126" s="266" t="s">
        <v>296</v>
      </c>
      <c r="M126" s="267" t="s">
        <v>102</v>
      </c>
      <c r="N126" s="267" t="str">
        <f>VLOOKUP(B126,'HECVAT - Full | Vendor Response'!A:E,3,FALSE)</f>
        <v>Yes</v>
      </c>
      <c r="O126" s="267" t="str">
        <f>IF(LEN(VLOOKUP(B126,'Analyst Report'!$A:$I,7,FALSE))= 0,"",VLOOKUP(B126,'Analyst Report'!$A:$I,7,FALSE))</f>
        <v/>
      </c>
      <c r="P126" s="267">
        <f t="shared" si="7"/>
        <v>1</v>
      </c>
      <c r="Q126" s="267">
        <v>25</v>
      </c>
      <c r="R126" s="267">
        <f>IF(LEN(VLOOKUP(B126,'Analyst Report'!$A$31:$I$288,9,FALSE))=0,VLOOKUP(B126,'Analyst Report'!$A$31:$I$288,8,FALSE),VLOOKUP(B126,'Analyst Report'!$A$31:$I$288,9,FALSE))</f>
        <v>25</v>
      </c>
      <c r="S126" s="267">
        <f t="shared" si="10"/>
        <v>25</v>
      </c>
      <c r="T126" s="267">
        <f t="shared" si="8"/>
        <v>25</v>
      </c>
      <c r="U126" s="164" t="s">
        <v>115</v>
      </c>
      <c r="V126" s="164" t="s">
        <v>115</v>
      </c>
      <c r="W126" s="164" t="s">
        <v>115</v>
      </c>
      <c r="X126" s="164" t="s">
        <v>115</v>
      </c>
      <c r="Y126" s="164" t="s">
        <v>115</v>
      </c>
      <c r="Z126" s="164" t="s">
        <v>115</v>
      </c>
      <c r="AA126" s="164" t="s">
        <v>115</v>
      </c>
      <c r="AB126" s="164" t="s">
        <v>115</v>
      </c>
    </row>
    <row r="127" spans="1:28" ht="135">
      <c r="A127" s="169">
        <f t="shared" si="11"/>
        <v>110</v>
      </c>
      <c r="B127" s="170" t="s">
        <v>306</v>
      </c>
      <c r="C127" s="170" t="s">
        <v>2824</v>
      </c>
      <c r="D127" s="170" t="str">
        <f>VLOOKUP(B127,'HECVAT - Full | Vendor Response'!A$4:D$320,4,TRUE)</f>
        <v>Institutions have 30 days from the date of non-renewal to download their data before it is permanently deleted from the Weave servers.</v>
      </c>
      <c r="E127" s="187" t="s">
        <v>115</v>
      </c>
      <c r="F127" s="165" t="s">
        <v>2825</v>
      </c>
      <c r="G127" s="187" t="s">
        <v>2826</v>
      </c>
      <c r="H127" s="181" t="s">
        <v>2827</v>
      </c>
      <c r="I127" s="181" t="s">
        <v>2828</v>
      </c>
      <c r="J127" s="266" t="str">
        <f t="shared" si="9"/>
        <v>FALSE</v>
      </c>
      <c r="K127" s="173">
        <v>1</v>
      </c>
      <c r="L127" s="266" t="s">
        <v>296</v>
      </c>
      <c r="M127" s="267" t="s">
        <v>102</v>
      </c>
      <c r="N127" s="267" t="str">
        <f>VLOOKUP(B127,'HECVAT - Full | Vendor Response'!A:E,3,FALSE)</f>
        <v>Yes</v>
      </c>
      <c r="O127" s="267" t="str">
        <f>IF(LEN(VLOOKUP(B127,'Analyst Report'!$A:$I,7,FALSE))= 0,"",VLOOKUP(B127,'Analyst Report'!$A:$I,7,FALSE))</f>
        <v/>
      </c>
      <c r="P127" s="267">
        <f t="shared" si="7"/>
        <v>1</v>
      </c>
      <c r="Q127" s="267">
        <v>20</v>
      </c>
      <c r="R127" s="267">
        <f>IF(LEN(VLOOKUP(B127,'Analyst Report'!$A$31:$I$288,9,FALSE))=0,VLOOKUP(B127,'Analyst Report'!$A$31:$I$288,8,FALSE),VLOOKUP(B127,'Analyst Report'!$A$31:$I$288,9,FALSE))</f>
        <v>20</v>
      </c>
      <c r="S127" s="267">
        <f t="shared" si="10"/>
        <v>20</v>
      </c>
      <c r="T127" s="267">
        <f t="shared" si="8"/>
        <v>20</v>
      </c>
      <c r="U127" s="164" t="s">
        <v>115</v>
      </c>
      <c r="V127" s="164" t="s">
        <v>115</v>
      </c>
      <c r="W127" s="164" t="s">
        <v>115</v>
      </c>
      <c r="X127" s="164" t="s">
        <v>115</v>
      </c>
      <c r="Y127" s="164" t="s">
        <v>115</v>
      </c>
      <c r="Z127" s="164" t="s">
        <v>115</v>
      </c>
      <c r="AA127" s="164" t="s">
        <v>115</v>
      </c>
      <c r="AB127" s="164" t="s">
        <v>115</v>
      </c>
    </row>
    <row r="128" spans="1:28" ht="135">
      <c r="A128" s="169">
        <f t="shared" si="11"/>
        <v>111</v>
      </c>
      <c r="B128" s="170" t="s">
        <v>308</v>
      </c>
      <c r="C128" s="170" t="s">
        <v>2829</v>
      </c>
      <c r="D128" s="170" t="str">
        <f>VLOOKUP(B128,'HECVAT - Full | Vendor Response'!A$4:D$320,4,TRUE)</f>
        <v>Institutions have 30 days from the date of non-renewal to download their data before it is permanently deleted from the Weave servers.</v>
      </c>
      <c r="E128" s="187" t="s">
        <v>115</v>
      </c>
      <c r="F128" s="165" t="s">
        <v>2830</v>
      </c>
      <c r="G128" s="187" t="s">
        <v>2826</v>
      </c>
      <c r="H128" s="181" t="s">
        <v>2827</v>
      </c>
      <c r="I128" s="181" t="s">
        <v>2828</v>
      </c>
      <c r="J128" s="266" t="str">
        <f t="shared" si="9"/>
        <v>TRUE</v>
      </c>
      <c r="K128" s="173">
        <v>1</v>
      </c>
      <c r="L128" s="266" t="s">
        <v>296</v>
      </c>
      <c r="M128" s="267" t="s">
        <v>102</v>
      </c>
      <c r="N128" s="267" t="str">
        <f>VLOOKUP(B128,'HECVAT - Full | Vendor Response'!A:E,3,FALSE)</f>
        <v>Yes</v>
      </c>
      <c r="O128" s="267" t="str">
        <f>IF(LEN(VLOOKUP(B128,'Analyst Report'!$A:$I,7,FALSE))= 0,"",VLOOKUP(B128,'Analyst Report'!$A:$I,7,FALSE))</f>
        <v/>
      </c>
      <c r="P128" s="267">
        <f t="shared" si="7"/>
        <v>1</v>
      </c>
      <c r="Q128" s="267">
        <v>25</v>
      </c>
      <c r="R128" s="267">
        <f>IF(LEN(VLOOKUP(B128,'Analyst Report'!$A$31:$I$288,9,FALSE))=0,VLOOKUP(B128,'Analyst Report'!$A$31:$I$288,8,FALSE),VLOOKUP(B128,'Analyst Report'!$A$31:$I$288,9,FALSE))</f>
        <v>25</v>
      </c>
      <c r="S128" s="267">
        <f t="shared" si="10"/>
        <v>25</v>
      </c>
      <c r="T128" s="267">
        <f t="shared" si="8"/>
        <v>25</v>
      </c>
      <c r="U128" s="164" t="s">
        <v>115</v>
      </c>
      <c r="V128" s="164" t="s">
        <v>115</v>
      </c>
      <c r="W128" s="164" t="s">
        <v>115</v>
      </c>
      <c r="X128" s="164" t="s">
        <v>115</v>
      </c>
      <c r="Y128" s="164" t="s">
        <v>115</v>
      </c>
      <c r="Z128" s="164" t="s">
        <v>115</v>
      </c>
      <c r="AA128" s="164" t="s">
        <v>115</v>
      </c>
      <c r="AB128" s="164" t="s">
        <v>115</v>
      </c>
    </row>
    <row r="129" spans="1:28" ht="150">
      <c r="A129" s="169">
        <f t="shared" si="11"/>
        <v>112</v>
      </c>
      <c r="B129" s="170" t="s">
        <v>309</v>
      </c>
      <c r="C129" s="170" t="s">
        <v>2831</v>
      </c>
      <c r="D129" s="170" t="str">
        <f>VLOOKUP(B129,'HECVAT - Full | Vendor Response'!A$4:D$320,4,TRUE)</f>
        <v>Institutions can download their full data at any time to retain as their own backups.</v>
      </c>
      <c r="E129" s="165" t="s">
        <v>115</v>
      </c>
      <c r="F129" s="165" t="s">
        <v>2832</v>
      </c>
      <c r="G129" s="165" t="s">
        <v>2833</v>
      </c>
      <c r="H129" s="177" t="s">
        <v>2834</v>
      </c>
      <c r="I129" s="177" t="s">
        <v>2828</v>
      </c>
      <c r="J129" s="266" t="str">
        <f t="shared" si="9"/>
        <v>FALSE</v>
      </c>
      <c r="K129" s="173">
        <v>1</v>
      </c>
      <c r="L129" s="266" t="s">
        <v>296</v>
      </c>
      <c r="M129" s="267" t="s">
        <v>102</v>
      </c>
      <c r="N129" s="267" t="str">
        <f>VLOOKUP(B129,'HECVAT - Full | Vendor Response'!A:E,3,FALSE)</f>
        <v>Yes</v>
      </c>
      <c r="O129" s="267" t="str">
        <f>IF(LEN(VLOOKUP(B129,'Analyst Report'!$A:$I,7,FALSE))= 0,"",VLOOKUP(B129,'Analyst Report'!$A:$I,7,FALSE))</f>
        <v/>
      </c>
      <c r="P129" s="267">
        <f t="shared" si="7"/>
        <v>1</v>
      </c>
      <c r="Q129" s="267">
        <v>20</v>
      </c>
      <c r="R129" s="267">
        <f>IF(LEN(VLOOKUP(B129,'Analyst Report'!$A$31:$I$288,9,FALSE))=0,VLOOKUP(B129,'Analyst Report'!$A$31:$I$288,8,FALSE),VLOOKUP(B129,'Analyst Report'!$A$31:$I$288,9,FALSE))</f>
        <v>20</v>
      </c>
      <c r="S129" s="267">
        <f t="shared" si="10"/>
        <v>20</v>
      </c>
      <c r="T129" s="267">
        <f t="shared" si="8"/>
        <v>20</v>
      </c>
      <c r="U129" s="164" t="s">
        <v>115</v>
      </c>
      <c r="V129" s="164" t="s">
        <v>115</v>
      </c>
      <c r="W129" s="164" t="s">
        <v>115</v>
      </c>
      <c r="X129" s="164" t="s">
        <v>115</v>
      </c>
      <c r="Y129" s="164" t="s">
        <v>115</v>
      </c>
      <c r="Z129" s="164" t="s">
        <v>115</v>
      </c>
      <c r="AA129" s="164" t="s">
        <v>115</v>
      </c>
      <c r="AB129" s="164" t="s">
        <v>115</v>
      </c>
    </row>
    <row r="130" spans="1:28" ht="150">
      <c r="A130" s="169">
        <f t="shared" si="11"/>
        <v>113</v>
      </c>
      <c r="B130" s="170" t="s">
        <v>311</v>
      </c>
      <c r="C130" s="170" t="s">
        <v>2835</v>
      </c>
      <c r="D130" s="170" t="str">
        <f>VLOOKUP(B130,'HECVAT - Full | Vendor Response'!A$4:D$320,4,TRUE)</f>
        <v>Institutions retain rights to all data and can ask it to be deleted at any time.</v>
      </c>
      <c r="E130" s="187" t="s">
        <v>115</v>
      </c>
      <c r="F130" s="187" t="s">
        <v>2836</v>
      </c>
      <c r="G130" s="187" t="s">
        <v>2837</v>
      </c>
      <c r="H130" s="181" t="s">
        <v>2838</v>
      </c>
      <c r="I130" s="181" t="s">
        <v>2839</v>
      </c>
      <c r="J130" s="266" t="str">
        <f t="shared" si="9"/>
        <v>FALSE</v>
      </c>
      <c r="K130" s="173">
        <v>1</v>
      </c>
      <c r="L130" s="266" t="s">
        <v>296</v>
      </c>
      <c r="M130" s="267" t="s">
        <v>102</v>
      </c>
      <c r="N130" s="267" t="str">
        <f>VLOOKUP(B130,'HECVAT - Full | Vendor Response'!A:E,3,FALSE)</f>
        <v>Yes</v>
      </c>
      <c r="O130" s="267" t="str">
        <f>IF(LEN(VLOOKUP(B130,'Analyst Report'!$A:$I,7,FALSE))= 0,"",VLOOKUP(B130,'Analyst Report'!$A:$I,7,FALSE))</f>
        <v/>
      </c>
      <c r="P130" s="267">
        <f t="shared" si="7"/>
        <v>1</v>
      </c>
      <c r="Q130" s="267">
        <v>15</v>
      </c>
      <c r="R130" s="267">
        <f>IF(LEN(VLOOKUP(B130,'Analyst Report'!$A$31:$I$288,9,FALSE))=0,VLOOKUP(B130,'Analyst Report'!$A$31:$I$288,8,FALSE),VLOOKUP(B130,'Analyst Report'!$A$31:$I$288,9,FALSE))</f>
        <v>15</v>
      </c>
      <c r="S130" s="267">
        <f t="shared" si="10"/>
        <v>15</v>
      </c>
      <c r="T130" s="267">
        <f t="shared" si="8"/>
        <v>15</v>
      </c>
      <c r="U130" s="164" t="s">
        <v>115</v>
      </c>
      <c r="V130" s="164" t="s">
        <v>115</v>
      </c>
      <c r="W130" s="164" t="s">
        <v>115</v>
      </c>
      <c r="X130" s="164" t="s">
        <v>115</v>
      </c>
      <c r="Y130" s="164" t="s">
        <v>115</v>
      </c>
      <c r="Z130" s="164" t="s">
        <v>115</v>
      </c>
      <c r="AA130" s="164" t="s">
        <v>115</v>
      </c>
      <c r="AB130" s="164" t="s">
        <v>115</v>
      </c>
    </row>
    <row r="131" spans="1:28" ht="120">
      <c r="A131" s="169">
        <f t="shared" si="11"/>
        <v>114</v>
      </c>
      <c r="B131" s="170" t="s">
        <v>313</v>
      </c>
      <c r="C131" s="170" t="s">
        <v>2840</v>
      </c>
      <c r="D131" s="170">
        <f>VLOOKUP(B131,'HECVAT - Full | Vendor Response'!A$4:D$320,4,TRUE)</f>
        <v>0</v>
      </c>
      <c r="E131" s="187" t="s">
        <v>115</v>
      </c>
      <c r="F131" s="187" t="s">
        <v>2841</v>
      </c>
      <c r="G131" s="187" t="s">
        <v>2842</v>
      </c>
      <c r="H131" s="181" t="s">
        <v>2843</v>
      </c>
      <c r="I131" s="181" t="s">
        <v>2839</v>
      </c>
      <c r="J131" s="266" t="str">
        <f t="shared" si="9"/>
        <v>TRUE</v>
      </c>
      <c r="K131" s="173">
        <v>1</v>
      </c>
      <c r="L131" s="266" t="s">
        <v>296</v>
      </c>
      <c r="M131" s="267" t="s">
        <v>102</v>
      </c>
      <c r="N131" s="267" t="str">
        <f>VLOOKUP(B131,'HECVAT - Full | Vendor Response'!A:E,3,FALSE)</f>
        <v>Yes</v>
      </c>
      <c r="O131" s="267" t="str">
        <f>IF(LEN(VLOOKUP(B131,'Analyst Report'!$A:$I,7,FALSE))= 0,"",VLOOKUP(B131,'Analyst Report'!$A:$I,7,FALSE))</f>
        <v/>
      </c>
      <c r="P131" s="267">
        <f t="shared" si="7"/>
        <v>1</v>
      </c>
      <c r="Q131" s="267">
        <v>25</v>
      </c>
      <c r="R131" s="267">
        <f>IF(LEN(VLOOKUP(B131,'Analyst Report'!$A$31:$I$288,9,FALSE))=0,VLOOKUP(B131,'Analyst Report'!$A$31:$I$288,8,FALSE),VLOOKUP(B131,'Analyst Report'!$A$31:$I$288,9,FALSE))</f>
        <v>25</v>
      </c>
      <c r="S131" s="267">
        <f t="shared" si="10"/>
        <v>25</v>
      </c>
      <c r="T131" s="267">
        <f t="shared" si="8"/>
        <v>25</v>
      </c>
      <c r="U131" s="164" t="s">
        <v>115</v>
      </c>
      <c r="V131" s="164" t="s">
        <v>115</v>
      </c>
      <c r="W131" s="164" t="s">
        <v>115</v>
      </c>
      <c r="X131" s="164" t="s">
        <v>115</v>
      </c>
      <c r="Y131" s="164" t="s">
        <v>115</v>
      </c>
      <c r="Z131" s="164" t="s">
        <v>115</v>
      </c>
      <c r="AA131" s="164" t="s">
        <v>115</v>
      </c>
      <c r="AB131" s="164" t="s">
        <v>115</v>
      </c>
    </row>
    <row r="132" spans="1:28" ht="120">
      <c r="A132" s="169">
        <f t="shared" si="11"/>
        <v>115</v>
      </c>
      <c r="B132" s="170" t="s">
        <v>314</v>
      </c>
      <c r="C132" s="170" t="s">
        <v>2844</v>
      </c>
      <c r="D132" s="170" t="str">
        <f>VLOOKUP(B132,'HECVAT - Full | Vendor Response'!A$4:D$320,4,TRUE)</f>
        <v>Upon imminent bankruptcy, closing of business, or retirement of service, Weave Education will give customers 90 days for customers to download their data.</v>
      </c>
      <c r="E132" s="187" t="s">
        <v>115</v>
      </c>
      <c r="F132" s="187" t="s">
        <v>2845</v>
      </c>
      <c r="G132" s="187" t="s">
        <v>2846</v>
      </c>
      <c r="H132" s="181" t="s">
        <v>2843</v>
      </c>
      <c r="I132" s="181" t="s">
        <v>2839</v>
      </c>
      <c r="J132" s="266" t="str">
        <f t="shared" si="9"/>
        <v>FALSE</v>
      </c>
      <c r="K132" s="173">
        <v>1</v>
      </c>
      <c r="L132" s="266" t="s">
        <v>296</v>
      </c>
      <c r="M132" s="267" t="s">
        <v>102</v>
      </c>
      <c r="N132" s="267" t="str">
        <f>VLOOKUP(B132,'HECVAT - Full | Vendor Response'!A:E,3,FALSE)</f>
        <v>Yes</v>
      </c>
      <c r="O132" s="267" t="str">
        <f>IF(LEN(VLOOKUP(B132,'Analyst Report'!$A:$I,7,FALSE))= 0,"",VLOOKUP(B132,'Analyst Report'!$A:$I,7,FALSE))</f>
        <v/>
      </c>
      <c r="P132" s="267">
        <f t="shared" si="7"/>
        <v>1</v>
      </c>
      <c r="Q132" s="267">
        <v>15</v>
      </c>
      <c r="R132" s="267">
        <f>IF(LEN(VLOOKUP(B132,'Analyst Report'!$A$31:$I$288,9,FALSE))=0,VLOOKUP(B132,'Analyst Report'!$A$31:$I$288,8,FALSE),VLOOKUP(B132,'Analyst Report'!$A$31:$I$288,9,FALSE))</f>
        <v>15</v>
      </c>
      <c r="S132" s="267">
        <f t="shared" si="10"/>
        <v>15</v>
      </c>
      <c r="T132" s="267">
        <f t="shared" si="8"/>
        <v>15</v>
      </c>
      <c r="U132" s="164" t="s">
        <v>115</v>
      </c>
      <c r="V132" s="164" t="s">
        <v>115</v>
      </c>
      <c r="W132" s="164" t="s">
        <v>115</v>
      </c>
      <c r="X132" s="164" t="s">
        <v>115</v>
      </c>
      <c r="Y132" s="164" t="s">
        <v>115</v>
      </c>
      <c r="Z132" s="164" t="s">
        <v>115</v>
      </c>
      <c r="AA132" s="164" t="s">
        <v>115</v>
      </c>
      <c r="AB132" s="164" t="s">
        <v>115</v>
      </c>
    </row>
    <row r="133" spans="1:28" ht="165">
      <c r="A133" s="169">
        <f t="shared" si="11"/>
        <v>116</v>
      </c>
      <c r="B133" s="170" t="s">
        <v>316</v>
      </c>
      <c r="C133" s="170" t="s">
        <v>2847</v>
      </c>
      <c r="D133" s="170" t="str">
        <f>VLOOKUP(B133,'HECVAT - Full | Vendor Response'!A$4:D$320,4,TRUE)</f>
        <v>Weave uses AWS Backup service to securely and routinely make and store backups.</v>
      </c>
      <c r="E133" s="165" t="s">
        <v>2848</v>
      </c>
      <c r="F133" s="165" t="s">
        <v>2849</v>
      </c>
      <c r="G133" s="165" t="s">
        <v>2850</v>
      </c>
      <c r="H133" s="177" t="s">
        <v>2851</v>
      </c>
      <c r="I133" s="177" t="s">
        <v>2852</v>
      </c>
      <c r="J133" s="266" t="str">
        <f t="shared" si="9"/>
        <v>FALSE</v>
      </c>
      <c r="K133" s="173">
        <f>IF(N132="Yes",1,0)</f>
        <v>1</v>
      </c>
      <c r="L133" s="266" t="s">
        <v>296</v>
      </c>
      <c r="M133" s="267" t="s">
        <v>102</v>
      </c>
      <c r="N133" s="267" t="str">
        <f>VLOOKUP(B133,'HECVAT - Full | Vendor Response'!A:E,3,FALSE)</f>
        <v>Yes</v>
      </c>
      <c r="O133" s="267" t="str">
        <f>IF(LEN(VLOOKUP(B133,'Analyst Report'!$A:$I,7,FALSE))= 0,"",VLOOKUP(B133,'Analyst Report'!$A:$I,7,FALSE))</f>
        <v/>
      </c>
      <c r="P133" s="267">
        <f t="shared" si="7"/>
        <v>1</v>
      </c>
      <c r="Q133" s="267">
        <v>15</v>
      </c>
      <c r="R133" s="267">
        <f>IF(LEN(VLOOKUP(B133,'Analyst Report'!$A$31:$I$288,9,FALSE))=0,VLOOKUP(B133,'Analyst Report'!$A$31:$I$288,8,FALSE),VLOOKUP(B133,'Analyst Report'!$A$31:$I$288,9,FALSE))</f>
        <v>15</v>
      </c>
      <c r="S133" s="267">
        <f t="shared" si="10"/>
        <v>15</v>
      </c>
      <c r="T133" s="267">
        <f t="shared" si="8"/>
        <v>15</v>
      </c>
      <c r="U133" s="164" t="s">
        <v>115</v>
      </c>
      <c r="V133" s="164" t="s">
        <v>115</v>
      </c>
      <c r="W133" s="164" t="s">
        <v>115</v>
      </c>
      <c r="X133" s="164" t="s">
        <v>115</v>
      </c>
      <c r="Y133" s="164" t="s">
        <v>115</v>
      </c>
      <c r="Z133" s="164" t="s">
        <v>115</v>
      </c>
      <c r="AA133" s="164" t="s">
        <v>115</v>
      </c>
      <c r="AB133" s="164" t="s">
        <v>115</v>
      </c>
    </row>
    <row r="134" spans="1:28" ht="90">
      <c r="A134" s="169">
        <f t="shared" si="11"/>
        <v>117</v>
      </c>
      <c r="B134" s="170" t="s">
        <v>318</v>
      </c>
      <c r="C134" s="170" t="s">
        <v>2853</v>
      </c>
      <c r="D134" s="170" t="str">
        <f>VLOOKUP(B134,'HECVAT - Full | Vendor Response'!A$4:D$320,4,TRUE)</f>
        <v>Weave Education utilizes AWS Backup and ensures that everything necessary for a full recovery is included. Weave compiles weekly full backups and daily incrementals.</v>
      </c>
      <c r="E134" s="187" t="s">
        <v>115</v>
      </c>
      <c r="F134" s="187" t="s">
        <v>2854</v>
      </c>
      <c r="G134" s="187" t="s">
        <v>2855</v>
      </c>
      <c r="H134" s="181" t="s">
        <v>2856</v>
      </c>
      <c r="I134" s="181" t="s">
        <v>2857</v>
      </c>
      <c r="J134" s="266" t="str">
        <f t="shared" si="9"/>
        <v>FALSE</v>
      </c>
      <c r="K134" s="173">
        <v>1</v>
      </c>
      <c r="L134" s="266" t="s">
        <v>296</v>
      </c>
      <c r="M134" s="267" t="s">
        <v>102</v>
      </c>
      <c r="N134" s="267" t="str">
        <f>VLOOKUP(B134,'HECVAT - Full | Vendor Response'!A:E,3,FALSE)</f>
        <v>Yes</v>
      </c>
      <c r="O134" s="267" t="str">
        <f>IF(LEN(VLOOKUP(B134,'Analyst Report'!$A:$I,7,FALSE))= 0,"",VLOOKUP(B134,'Analyst Report'!$A:$I,7,FALSE))</f>
        <v/>
      </c>
      <c r="P134" s="267">
        <f t="shared" si="7"/>
        <v>1</v>
      </c>
      <c r="Q134" s="267">
        <v>20</v>
      </c>
      <c r="R134" s="267">
        <f>IF(LEN(VLOOKUP(B134,'Analyst Report'!$A$31:$I$288,9,FALSE))=0,VLOOKUP(B134,'Analyst Report'!$A$31:$I$288,8,FALSE),VLOOKUP(B134,'Analyst Report'!$A$31:$I$288,9,FALSE))</f>
        <v>20</v>
      </c>
      <c r="S134" s="267">
        <f t="shared" si="10"/>
        <v>20</v>
      </c>
      <c r="T134" s="267">
        <f t="shared" si="8"/>
        <v>20</v>
      </c>
      <c r="U134" s="164" t="s">
        <v>115</v>
      </c>
      <c r="V134" s="164" t="s">
        <v>115</v>
      </c>
      <c r="W134" s="164" t="s">
        <v>115</v>
      </c>
      <c r="X134" s="164" t="s">
        <v>115</v>
      </c>
      <c r="Y134" s="164" t="s">
        <v>115</v>
      </c>
      <c r="Z134" s="164" t="s">
        <v>115</v>
      </c>
      <c r="AA134" s="164" t="s">
        <v>115</v>
      </c>
      <c r="AB134" s="164" t="s">
        <v>115</v>
      </c>
    </row>
    <row r="135" spans="1:28" ht="150">
      <c r="A135" s="169">
        <f t="shared" si="11"/>
        <v>118</v>
      </c>
      <c r="B135" s="170" t="s">
        <v>320</v>
      </c>
      <c r="C135" s="170" t="s">
        <v>2858</v>
      </c>
      <c r="D135" s="170" t="str">
        <f>VLOOKUP(B135,'HECVAT - Full | Vendor Response'!A$4:D$320,4,TRUE)</f>
        <v>AWS Backup utilized multiple availability zones</v>
      </c>
      <c r="E135" s="187" t="s">
        <v>115</v>
      </c>
      <c r="F135" s="187" t="s">
        <v>2859</v>
      </c>
      <c r="G135" s="187" t="s">
        <v>2860</v>
      </c>
      <c r="H135" s="181" t="s">
        <v>2861</v>
      </c>
      <c r="I135" s="181" t="s">
        <v>2862</v>
      </c>
      <c r="J135" s="266" t="str">
        <f t="shared" si="9"/>
        <v>FALSE</v>
      </c>
      <c r="K135" s="173">
        <v>1</v>
      </c>
      <c r="L135" s="266" t="s">
        <v>296</v>
      </c>
      <c r="M135" s="267" t="s">
        <v>102</v>
      </c>
      <c r="N135" s="267" t="str">
        <f>VLOOKUP(B135,'HECVAT - Full | Vendor Response'!A:E,3,FALSE)</f>
        <v>Yes</v>
      </c>
      <c r="O135" s="267" t="str">
        <f>IF(LEN(VLOOKUP(B135,'Analyst Report'!$A:$I,7,FALSE))= 0,"",VLOOKUP(B135,'Analyst Report'!$A:$I,7,FALSE))</f>
        <v/>
      </c>
      <c r="P135" s="267">
        <f t="shared" si="7"/>
        <v>1</v>
      </c>
      <c r="Q135" s="267">
        <v>20</v>
      </c>
      <c r="R135" s="267">
        <f>IF(LEN(VLOOKUP(B135,'Analyst Report'!$A$31:$I$288,9,FALSE))=0,VLOOKUP(B135,'Analyst Report'!$A$31:$I$288,8,FALSE),VLOOKUP(B135,'Analyst Report'!$A$31:$I$288,9,FALSE))</f>
        <v>20</v>
      </c>
      <c r="S135" s="267">
        <f t="shared" si="10"/>
        <v>20</v>
      </c>
      <c r="T135" s="267">
        <f t="shared" si="8"/>
        <v>20</v>
      </c>
      <c r="U135" s="164" t="s">
        <v>115</v>
      </c>
      <c r="V135" s="164" t="s">
        <v>115</v>
      </c>
      <c r="W135" s="164" t="s">
        <v>115</v>
      </c>
      <c r="X135" s="164" t="s">
        <v>115</v>
      </c>
      <c r="Y135" s="164" t="s">
        <v>115</v>
      </c>
      <c r="Z135" s="164" t="s">
        <v>115</v>
      </c>
      <c r="AA135" s="164" t="s">
        <v>115</v>
      </c>
      <c r="AB135" s="164" t="s">
        <v>115</v>
      </c>
    </row>
    <row r="136" spans="1:28" ht="120">
      <c r="A136" s="169">
        <f t="shared" si="11"/>
        <v>119</v>
      </c>
      <c r="B136" s="170" t="s">
        <v>322</v>
      </c>
      <c r="C136" s="170" t="s">
        <v>2863</v>
      </c>
      <c r="D136" s="170" t="str">
        <f>VLOOKUP(B136,'HECVAT - Full | Vendor Response'!A$4:D$320,4,TRUE)</f>
        <v>Weave Education does not store any physical backups. They are all in AWS.</v>
      </c>
      <c r="E136" s="187" t="s">
        <v>115</v>
      </c>
      <c r="F136" s="187" t="s">
        <v>2864</v>
      </c>
      <c r="G136" s="187" t="s">
        <v>2865</v>
      </c>
      <c r="H136" s="181" t="s">
        <v>2866</v>
      </c>
      <c r="I136" s="181" t="s">
        <v>2867</v>
      </c>
      <c r="J136" s="266" t="str">
        <f t="shared" si="9"/>
        <v>FALSE</v>
      </c>
      <c r="K136" s="173">
        <v>1</v>
      </c>
      <c r="L136" s="266" t="s">
        <v>296</v>
      </c>
      <c r="M136" s="267" t="s">
        <v>102</v>
      </c>
      <c r="N136" s="267" t="str">
        <f>VLOOKUP(B136,'HECVAT - Full | Vendor Response'!A:E,3,FALSE)</f>
        <v>No</v>
      </c>
      <c r="O136" s="267" t="str">
        <f>IF(LEN(VLOOKUP(B136,'Analyst Report'!$A:$I,7,FALSE))= 0,"",VLOOKUP(B136,'Analyst Report'!$A:$I,7,FALSE))</f>
        <v/>
      </c>
      <c r="P136" s="267">
        <f t="shared" si="7"/>
        <v>0</v>
      </c>
      <c r="Q136" s="267">
        <v>20</v>
      </c>
      <c r="R136" s="267">
        <f>IF(LEN(VLOOKUP(B136,'Analyst Report'!$A$31:$I$288,9,FALSE))=0,VLOOKUP(B136,'Analyst Report'!$A$31:$I$288,8,FALSE),VLOOKUP(B136,'Analyst Report'!$A$31:$I$288,9,FALSE))</f>
        <v>20</v>
      </c>
      <c r="S136" s="267">
        <f t="shared" si="10"/>
        <v>20</v>
      </c>
      <c r="T136" s="267">
        <f t="shared" si="8"/>
        <v>0</v>
      </c>
      <c r="U136" s="164" t="s">
        <v>115</v>
      </c>
      <c r="V136" s="164" t="s">
        <v>115</v>
      </c>
      <c r="W136" s="164" t="s">
        <v>115</v>
      </c>
      <c r="X136" s="164" t="s">
        <v>115</v>
      </c>
      <c r="Y136" s="164" t="s">
        <v>115</v>
      </c>
      <c r="Z136" s="164" t="s">
        <v>115</v>
      </c>
      <c r="AA136" s="164" t="s">
        <v>115</v>
      </c>
      <c r="AB136" s="164" t="s">
        <v>115</v>
      </c>
    </row>
    <row r="137" spans="1:28" ht="150">
      <c r="A137" s="169">
        <f t="shared" si="11"/>
        <v>120</v>
      </c>
      <c r="B137" s="170" t="s">
        <v>324</v>
      </c>
      <c r="C137" s="170" t="s">
        <v>2868</v>
      </c>
      <c r="D137" s="170" t="str">
        <f>VLOOKUP(B137,'HECVAT - Full | Vendor Response'!A$4:D$320,4,TRUE)</f>
        <v>No, but if the backups need to be moved to a new AWS availability zone, they will.</v>
      </c>
      <c r="E137" s="187" t="s">
        <v>115</v>
      </c>
      <c r="F137" s="187" t="s">
        <v>115</v>
      </c>
      <c r="G137" s="187" t="s">
        <v>2869</v>
      </c>
      <c r="H137" s="181" t="s">
        <v>2870</v>
      </c>
      <c r="I137" s="181" t="s">
        <v>2871</v>
      </c>
      <c r="J137" s="266" t="str">
        <f t="shared" si="9"/>
        <v>TRUE</v>
      </c>
      <c r="K137" s="173">
        <v>1</v>
      </c>
      <c r="L137" s="266" t="s">
        <v>296</v>
      </c>
      <c r="M137" s="267" t="s">
        <v>100</v>
      </c>
      <c r="N137" s="267" t="str">
        <f>VLOOKUP(B137,'HECVAT - Full | Vendor Response'!A:E,3,FALSE)</f>
        <v>Yes</v>
      </c>
      <c r="O137" s="267" t="str">
        <f>IF(LEN(VLOOKUP(B137,'Analyst Report'!$A:$I,7,FALSE))= 0,"",VLOOKUP(B137,'Analyst Report'!$A:$I,7,FALSE))</f>
        <v/>
      </c>
      <c r="P137" s="267">
        <f t="shared" si="7"/>
        <v>0</v>
      </c>
      <c r="Q137" s="267">
        <v>25</v>
      </c>
      <c r="R137" s="267">
        <f>IF(LEN(VLOOKUP(B137,'Analyst Report'!$A$31:$I$288,9,FALSE))=0,VLOOKUP(B137,'Analyst Report'!$A$31:$I$288,8,FALSE),VLOOKUP(B137,'Analyst Report'!$A$31:$I$288,9,FALSE))</f>
        <v>25</v>
      </c>
      <c r="S137" s="267">
        <f t="shared" si="10"/>
        <v>25</v>
      </c>
      <c r="T137" s="267">
        <f t="shared" si="8"/>
        <v>0</v>
      </c>
      <c r="U137" s="164" t="s">
        <v>115</v>
      </c>
      <c r="V137" s="164" t="s">
        <v>115</v>
      </c>
      <c r="W137" s="164" t="s">
        <v>115</v>
      </c>
      <c r="X137" s="164" t="s">
        <v>115</v>
      </c>
      <c r="Y137" s="164" t="s">
        <v>115</v>
      </c>
      <c r="Z137" s="164" t="s">
        <v>115</v>
      </c>
      <c r="AA137" s="164" t="s">
        <v>115</v>
      </c>
      <c r="AB137" s="164" t="s">
        <v>115</v>
      </c>
    </row>
    <row r="138" spans="1:28" ht="120">
      <c r="A138" s="169">
        <f t="shared" si="11"/>
        <v>121</v>
      </c>
      <c r="B138" s="170" t="s">
        <v>326</v>
      </c>
      <c r="C138" s="170" t="s">
        <v>2872</v>
      </c>
      <c r="D138" s="170" t="str">
        <f>VLOOKUP(B138,'HECVAT - Full | Vendor Response'!A$4:D$320,4,TRUE)</f>
        <v>AWS Backup encrypts its backups</v>
      </c>
      <c r="E138" s="187" t="s">
        <v>115</v>
      </c>
      <c r="F138" s="187" t="s">
        <v>2873</v>
      </c>
      <c r="G138" s="187" t="s">
        <v>2874</v>
      </c>
      <c r="H138" s="181" t="s">
        <v>2875</v>
      </c>
      <c r="I138" s="181" t="s">
        <v>2876</v>
      </c>
      <c r="J138" s="266" t="str">
        <f t="shared" si="9"/>
        <v>FALSE</v>
      </c>
      <c r="K138" s="173">
        <v>1</v>
      </c>
      <c r="L138" s="266" t="s">
        <v>296</v>
      </c>
      <c r="M138" s="267" t="s">
        <v>102</v>
      </c>
      <c r="N138" s="267" t="str">
        <f>VLOOKUP(B138,'HECVAT - Full | Vendor Response'!A:E,3,FALSE)</f>
        <v>Yes</v>
      </c>
      <c r="O138" s="267" t="str">
        <f>IF(LEN(VLOOKUP(B138,'Analyst Report'!$A:$I,7,FALSE))= 0,"",VLOOKUP(B138,'Analyst Report'!$A:$I,7,FALSE))</f>
        <v/>
      </c>
      <c r="P138" s="267">
        <f t="shared" si="7"/>
        <v>1</v>
      </c>
      <c r="Q138" s="267">
        <v>15</v>
      </c>
      <c r="R138" s="267">
        <f>IF(LEN(VLOOKUP(B138,'Analyst Report'!$A$31:$I$288,9,FALSE))=0,VLOOKUP(B138,'Analyst Report'!$A$31:$I$288,8,FALSE),VLOOKUP(B138,'Analyst Report'!$A$31:$I$288,9,FALSE))</f>
        <v>15</v>
      </c>
      <c r="S138" s="267">
        <f t="shared" si="10"/>
        <v>15</v>
      </c>
      <c r="T138" s="267">
        <f t="shared" si="8"/>
        <v>15</v>
      </c>
      <c r="U138" s="164" t="s">
        <v>115</v>
      </c>
      <c r="V138" s="164" t="s">
        <v>115</v>
      </c>
      <c r="W138" s="164" t="s">
        <v>115</v>
      </c>
      <c r="X138" s="164" t="s">
        <v>115</v>
      </c>
      <c r="Y138" s="164" t="s">
        <v>115</v>
      </c>
      <c r="Z138" s="164" t="s">
        <v>115</v>
      </c>
      <c r="AA138" s="164" t="s">
        <v>115</v>
      </c>
      <c r="AB138" s="164" t="s">
        <v>115</v>
      </c>
    </row>
    <row r="139" spans="1:28" ht="210">
      <c r="A139" s="169">
        <f t="shared" si="11"/>
        <v>122</v>
      </c>
      <c r="B139" s="170" t="s">
        <v>328</v>
      </c>
      <c r="C139" s="170" t="s">
        <v>2877</v>
      </c>
      <c r="D139" s="170" t="str">
        <f>VLOOKUP(B139,'HECVAT - Full | Vendor Response'!A$4:D$320,4,TRUE)</f>
        <v xml:space="preserve">The AWS services Weave uses provide encryption of data using AWS managed keys. These AWS managed keys are AWS Key Management Service (AWS KMS) keys created, managed, and used by the AWS services within Weave Education’s AWS account, and those services integrate with AWS KMS. </v>
      </c>
      <c r="E139" s="187" t="s">
        <v>115</v>
      </c>
      <c r="F139" s="187" t="s">
        <v>2878</v>
      </c>
      <c r="G139" s="187" t="s">
        <v>2878</v>
      </c>
      <c r="H139" s="181" t="s">
        <v>2879</v>
      </c>
      <c r="I139" s="181" t="s">
        <v>2880</v>
      </c>
      <c r="J139" s="266" t="str">
        <f t="shared" si="9"/>
        <v>FALSE</v>
      </c>
      <c r="K139" s="173">
        <v>1</v>
      </c>
      <c r="L139" s="266" t="s">
        <v>296</v>
      </c>
      <c r="M139" s="267" t="s">
        <v>102</v>
      </c>
      <c r="N139" s="267" t="str">
        <f>VLOOKUP(B139,'HECVAT - Full | Vendor Response'!A:E,3,FALSE)</f>
        <v>Yes</v>
      </c>
      <c r="O139" s="267" t="str">
        <f>IF(LEN(VLOOKUP(B139,'Analyst Report'!$A:$I,7,FALSE))= 0,"",VLOOKUP(B139,'Analyst Report'!$A:$I,7,FALSE))</f>
        <v/>
      </c>
      <c r="P139" s="267">
        <f t="shared" si="7"/>
        <v>1</v>
      </c>
      <c r="Q139" s="267">
        <v>10</v>
      </c>
      <c r="R139" s="267">
        <f>IF(LEN(VLOOKUP(B139,'Analyst Report'!$A$31:$I$288,9,FALSE))=0,VLOOKUP(B139,'Analyst Report'!$A$31:$I$288,8,FALSE),VLOOKUP(B139,'Analyst Report'!$A$31:$I$288,9,FALSE))</f>
        <v>10</v>
      </c>
      <c r="S139" s="267">
        <f t="shared" si="10"/>
        <v>10</v>
      </c>
      <c r="T139" s="267">
        <f t="shared" si="8"/>
        <v>10</v>
      </c>
      <c r="U139" s="164" t="s">
        <v>115</v>
      </c>
      <c r="V139" s="164" t="s">
        <v>115</v>
      </c>
      <c r="W139" s="164" t="s">
        <v>115</v>
      </c>
      <c r="X139" s="164" t="s">
        <v>115</v>
      </c>
      <c r="Y139" s="164" t="s">
        <v>115</v>
      </c>
      <c r="Z139" s="164" t="s">
        <v>115</v>
      </c>
      <c r="AA139" s="164" t="s">
        <v>115</v>
      </c>
      <c r="AB139" s="164" t="s">
        <v>115</v>
      </c>
    </row>
    <row r="140" spans="1:28" ht="135">
      <c r="A140" s="169">
        <f t="shared" si="11"/>
        <v>123</v>
      </c>
      <c r="B140" s="170" t="s">
        <v>330</v>
      </c>
      <c r="C140" s="170" t="s">
        <v>2881</v>
      </c>
      <c r="D140" s="170" t="str">
        <f>VLOOKUP(B140,'HECVAT - Full | Vendor Response'!A$4:D$320,4,TRUE)</f>
        <v>Weave inherits media handling processes from AWS</v>
      </c>
      <c r="E140" s="165" t="s">
        <v>115</v>
      </c>
      <c r="F140" s="165" t="s">
        <v>2882</v>
      </c>
      <c r="G140" s="165" t="s">
        <v>2883</v>
      </c>
      <c r="H140" s="177" t="s">
        <v>2884</v>
      </c>
      <c r="I140" s="177" t="s">
        <v>2885</v>
      </c>
      <c r="J140" s="266" t="str">
        <f t="shared" si="9"/>
        <v>FALSE</v>
      </c>
      <c r="K140" s="173">
        <v>1</v>
      </c>
      <c r="L140" s="266" t="s">
        <v>296</v>
      </c>
      <c r="M140" s="267" t="s">
        <v>102</v>
      </c>
      <c r="N140" s="267" t="str">
        <f>VLOOKUP(B140,'HECVAT - Full | Vendor Response'!A:E,3,FALSE)</f>
        <v>Yes</v>
      </c>
      <c r="O140" s="267" t="str">
        <f>IF(LEN(VLOOKUP(B140,'Analyst Report'!$A:$I,7,FALSE))= 0,"",VLOOKUP(B140,'Analyst Report'!$A:$I,7,FALSE))</f>
        <v/>
      </c>
      <c r="P140" s="267">
        <f t="shared" si="7"/>
        <v>1</v>
      </c>
      <c r="Q140" s="267">
        <v>20</v>
      </c>
      <c r="R140" s="267">
        <f>IF(LEN(VLOOKUP(B140,'Analyst Report'!$A$31:$I$288,9,FALSE))=0,VLOOKUP(B140,'Analyst Report'!$A$31:$I$288,8,FALSE),VLOOKUP(B140,'Analyst Report'!$A$31:$I$288,9,FALSE))</f>
        <v>20</v>
      </c>
      <c r="S140" s="267">
        <f t="shared" si="10"/>
        <v>20</v>
      </c>
      <c r="T140" s="267">
        <f t="shared" si="8"/>
        <v>20</v>
      </c>
      <c r="U140" s="164" t="s">
        <v>115</v>
      </c>
      <c r="V140" s="164" t="s">
        <v>115</v>
      </c>
      <c r="W140" s="164" t="s">
        <v>115</v>
      </c>
      <c r="X140" s="164" t="s">
        <v>115</v>
      </c>
      <c r="Y140" s="164" t="s">
        <v>115</v>
      </c>
      <c r="Z140" s="164" t="s">
        <v>115</v>
      </c>
      <c r="AA140" s="164" t="s">
        <v>115</v>
      </c>
      <c r="AB140" s="164" t="s">
        <v>115</v>
      </c>
    </row>
    <row r="141" spans="1:28" ht="135">
      <c r="A141" s="169">
        <f t="shared" si="11"/>
        <v>124</v>
      </c>
      <c r="B141" s="170" t="s">
        <v>332</v>
      </c>
      <c r="C141" s="170" t="s">
        <v>2886</v>
      </c>
      <c r="D141" s="170" t="str">
        <f>VLOOKUP(B141,'HECVAT - Full | Vendor Response'!A$4:D$320,4,TRUE)</f>
        <v>Weave inherits media handling processes from AWS</v>
      </c>
      <c r="E141" s="187" t="s">
        <v>115</v>
      </c>
      <c r="F141" s="187" t="s">
        <v>2887</v>
      </c>
      <c r="G141" s="187"/>
      <c r="H141" s="181" t="s">
        <v>2888</v>
      </c>
      <c r="I141" s="181" t="s">
        <v>2889</v>
      </c>
      <c r="J141" s="266" t="str">
        <f t="shared" si="9"/>
        <v>FALSE</v>
      </c>
      <c r="K141" s="173">
        <v>1</v>
      </c>
      <c r="L141" s="266"/>
      <c r="M141" s="267" t="s">
        <v>102</v>
      </c>
      <c r="N141" s="267" t="str">
        <f>VLOOKUP(B141,'HECVAT - Full | Vendor Response'!A:E,3,FALSE)</f>
        <v>Yes</v>
      </c>
      <c r="O141" s="267" t="str">
        <f>IF(LEN(VLOOKUP(B141,'Analyst Report'!$A:$I,7,FALSE))= 0,"",VLOOKUP(B141,'Analyst Report'!$A:$I,7,FALSE))</f>
        <v/>
      </c>
      <c r="P141" s="267">
        <f t="shared" ref="P141:P184" si="13">IF((O141=""),(IF(ISNUMBER(FIND(M141,N141)), 1, 0)),(IF(ISNUMBER(FIND(M141,O141)), 1, 0)))</f>
        <v>1</v>
      </c>
      <c r="Q141" s="267">
        <v>20</v>
      </c>
      <c r="R141" s="267">
        <f>IF(LEN(VLOOKUP(B141,'Analyst Report'!$A$31:$I$288,9,FALSE))=0,VLOOKUP(B141,'Analyst Report'!$A$31:$I$288,8,FALSE),VLOOKUP(B141,'Analyst Report'!$A$31:$I$288,9,FALSE))</f>
        <v>20</v>
      </c>
      <c r="S141" s="267">
        <f t="shared" si="10"/>
        <v>20</v>
      </c>
      <c r="T141" s="267">
        <f t="shared" ref="T141:T184" si="14">P141*S141</f>
        <v>20</v>
      </c>
      <c r="U141" s="164" t="s">
        <v>115</v>
      </c>
      <c r="V141" s="164" t="s">
        <v>115</v>
      </c>
      <c r="W141" s="164" t="s">
        <v>115</v>
      </c>
      <c r="X141" s="164" t="s">
        <v>115</v>
      </c>
      <c r="Y141" s="164" t="s">
        <v>115</v>
      </c>
      <c r="Z141" s="164" t="s">
        <v>115</v>
      </c>
      <c r="AA141" s="164" t="s">
        <v>115</v>
      </c>
      <c r="AB141" s="164" t="s">
        <v>115</v>
      </c>
    </row>
    <row r="142" spans="1:28" ht="135">
      <c r="A142" s="169">
        <f t="shared" si="11"/>
        <v>125</v>
      </c>
      <c r="B142" s="170" t="s">
        <v>333</v>
      </c>
      <c r="C142" s="170" t="s">
        <v>2890</v>
      </c>
      <c r="D142" s="170" t="str">
        <f>VLOOKUP(B142,'HECVAT - Full | Vendor Response'!A$4:D$320,4,TRUE)</f>
        <v>Weave inherits media storage processes from AWS</v>
      </c>
      <c r="E142" s="187" t="s">
        <v>115</v>
      </c>
      <c r="F142" s="187" t="s">
        <v>2891</v>
      </c>
      <c r="G142" s="187" t="s">
        <v>2892</v>
      </c>
      <c r="H142" s="181" t="s">
        <v>2888</v>
      </c>
      <c r="I142" s="181" t="s">
        <v>2885</v>
      </c>
      <c r="J142" s="266" t="str">
        <f t="shared" si="9"/>
        <v>TRUE</v>
      </c>
      <c r="K142" s="173">
        <v>1</v>
      </c>
      <c r="L142" s="266" t="s">
        <v>296</v>
      </c>
      <c r="M142" s="267" t="s">
        <v>102</v>
      </c>
      <c r="N142" s="267" t="str">
        <f>VLOOKUP(B142,'HECVAT - Full | Vendor Response'!A:E,3,FALSE)</f>
        <v>Yes</v>
      </c>
      <c r="O142" s="267" t="str">
        <f>IF(LEN(VLOOKUP(B142,'Analyst Report'!$A:$I,7,FALSE))= 0,"",VLOOKUP(B142,'Analyst Report'!$A:$I,7,FALSE))</f>
        <v/>
      </c>
      <c r="P142" s="267">
        <f t="shared" si="13"/>
        <v>1</v>
      </c>
      <c r="Q142" s="267">
        <v>25</v>
      </c>
      <c r="R142" s="267">
        <f>IF(LEN(VLOOKUP(B142,'Analyst Report'!$A$31:$I$288,9,FALSE))=0,VLOOKUP(B142,'Analyst Report'!$A$31:$I$288,8,FALSE),VLOOKUP(B142,'Analyst Report'!$A$31:$I$288,9,FALSE))</f>
        <v>25</v>
      </c>
      <c r="S142" s="267">
        <f t="shared" si="10"/>
        <v>25</v>
      </c>
      <c r="T142" s="267">
        <f t="shared" si="14"/>
        <v>25</v>
      </c>
      <c r="U142" s="164" t="s">
        <v>115</v>
      </c>
      <c r="V142" s="164" t="s">
        <v>115</v>
      </c>
      <c r="W142" s="164" t="s">
        <v>115</v>
      </c>
      <c r="X142" s="164" t="s">
        <v>115</v>
      </c>
      <c r="Y142" s="164" t="s">
        <v>115</v>
      </c>
      <c r="Z142" s="164" t="s">
        <v>115</v>
      </c>
      <c r="AA142" s="164" t="s">
        <v>115</v>
      </c>
      <c r="AB142" s="164" t="s">
        <v>115</v>
      </c>
    </row>
    <row r="143" spans="1:28" ht="75">
      <c r="A143" s="169">
        <f t="shared" si="11"/>
        <v>126</v>
      </c>
      <c r="B143" s="170" t="s">
        <v>335</v>
      </c>
      <c r="C143" s="170" t="s">
        <v>2893</v>
      </c>
      <c r="D143" s="170" t="str">
        <f>VLOOKUP(B143,'HECVAT - Full | Vendor Response'!A$4:D$320,4,TRUE)</f>
        <v>FERPA compliance is integrated in Weave's privacy policy and procedures as noted in Weave's Privacy Policy: https://weaveeducation.com/wp-content/uploads/Weave-Privacy-Policy.pdf</v>
      </c>
      <c r="E143" s="187" t="s">
        <v>115</v>
      </c>
      <c r="F143" s="187" t="s">
        <v>2894</v>
      </c>
      <c r="G143" s="187" t="s">
        <v>2895</v>
      </c>
      <c r="H143" s="181" t="s">
        <v>2896</v>
      </c>
      <c r="I143" s="181" t="s">
        <v>2897</v>
      </c>
      <c r="J143" s="266" t="str">
        <f t="shared" si="9"/>
        <v>FALSE</v>
      </c>
      <c r="K143" s="173">
        <v>1</v>
      </c>
      <c r="L143" s="266" t="s">
        <v>296</v>
      </c>
      <c r="M143" s="267" t="s">
        <v>102</v>
      </c>
      <c r="N143" s="267" t="str">
        <f>VLOOKUP(B143,'HECVAT - Full | Vendor Response'!A:E,3,FALSE)</f>
        <v>Yes</v>
      </c>
      <c r="O143" s="267" t="str">
        <f>IF(LEN(VLOOKUP(B143,'Analyst Report'!$A:$I,7,FALSE))= 0,"",VLOOKUP(B143,'Analyst Report'!$A:$I,7,FALSE))</f>
        <v/>
      </c>
      <c r="P143" s="267">
        <f t="shared" si="13"/>
        <v>1</v>
      </c>
      <c r="Q143" s="267">
        <v>15</v>
      </c>
      <c r="R143" s="267">
        <f>IF(LEN(VLOOKUP(B143,'Analyst Report'!$A$31:$I$288,9,FALSE))=0,VLOOKUP(B143,'Analyst Report'!$A$31:$I$288,8,FALSE),VLOOKUP(B143,'Analyst Report'!$A$31:$I$288,9,FALSE))</f>
        <v>15</v>
      </c>
      <c r="S143" s="267">
        <f t="shared" si="10"/>
        <v>15</v>
      </c>
      <c r="T143" s="267">
        <f t="shared" si="14"/>
        <v>15</v>
      </c>
      <c r="U143" s="164" t="s">
        <v>115</v>
      </c>
      <c r="V143" s="164" t="s">
        <v>115</v>
      </c>
      <c r="W143" s="164" t="s">
        <v>115</v>
      </c>
      <c r="X143" s="164" t="s">
        <v>115</v>
      </c>
      <c r="Y143" s="164" t="s">
        <v>115</v>
      </c>
      <c r="Z143" s="164" t="s">
        <v>115</v>
      </c>
      <c r="AA143" s="164" t="s">
        <v>115</v>
      </c>
      <c r="AB143" s="164" t="s">
        <v>115</v>
      </c>
    </row>
    <row r="144" spans="1:28" ht="180">
      <c r="A144" s="169">
        <f t="shared" si="11"/>
        <v>127</v>
      </c>
      <c r="B144" s="170" t="s">
        <v>337</v>
      </c>
      <c r="C144" s="170" t="s">
        <v>2898</v>
      </c>
      <c r="D144" s="170" t="str">
        <f>VLOOKUP(B144,'HECVAT - Full | Vendor Response'!A$4:D$320,4,TRUE)</f>
        <v>Weave practices the principle of least privilege and only some essential staff have access to whatever data institutions upload. There is no financial or PHI in the Weave platform.</v>
      </c>
      <c r="E144" s="165" t="s">
        <v>115</v>
      </c>
      <c r="F144" s="165"/>
      <c r="G144" s="165" t="s">
        <v>2899</v>
      </c>
      <c r="H144" s="177" t="s">
        <v>2900</v>
      </c>
      <c r="I144" s="177" t="s">
        <v>2901</v>
      </c>
      <c r="J144" s="266" t="str">
        <f t="shared" si="9"/>
        <v>FALSE</v>
      </c>
      <c r="K144" s="173">
        <v>1</v>
      </c>
      <c r="L144" s="266" t="s">
        <v>296</v>
      </c>
      <c r="M144" s="267" t="s">
        <v>102</v>
      </c>
      <c r="N144" s="267" t="str">
        <f>VLOOKUP(B144,'HECVAT - Full | Vendor Response'!A:E,3,FALSE)</f>
        <v>No</v>
      </c>
      <c r="O144" s="267" t="str">
        <f>IF(LEN(VLOOKUP(B144,'Analyst Report'!$A:$I,7,FALSE))= 0,"",VLOOKUP(B144,'Analyst Report'!$A:$I,7,FALSE))</f>
        <v/>
      </c>
      <c r="P144" s="267">
        <f t="shared" si="13"/>
        <v>0</v>
      </c>
      <c r="Q144" s="267">
        <v>20</v>
      </c>
      <c r="R144" s="267">
        <f>IF(LEN(VLOOKUP(B144,'Analyst Report'!$A$31:$I$288,9,FALSE))=0,VLOOKUP(B144,'Analyst Report'!$A$31:$I$288,8,FALSE),VLOOKUP(B144,'Analyst Report'!$A$31:$I$288,9,FALSE))</f>
        <v>20</v>
      </c>
      <c r="S144" s="267">
        <f t="shared" si="10"/>
        <v>20</v>
      </c>
      <c r="T144" s="267">
        <f t="shared" si="14"/>
        <v>0</v>
      </c>
      <c r="U144" s="164" t="s">
        <v>115</v>
      </c>
      <c r="V144" s="164" t="s">
        <v>115</v>
      </c>
      <c r="W144" s="164" t="s">
        <v>115</v>
      </c>
      <c r="X144" s="164" t="s">
        <v>115</v>
      </c>
      <c r="Y144" s="164" t="s">
        <v>115</v>
      </c>
      <c r="Z144" s="164" t="s">
        <v>115</v>
      </c>
      <c r="AA144" s="164" t="s">
        <v>115</v>
      </c>
      <c r="AB144" s="164" t="s">
        <v>115</v>
      </c>
    </row>
    <row r="145" spans="1:28" ht="409.5" customHeight="1">
      <c r="A145" s="169">
        <f t="shared" si="11"/>
        <v>128</v>
      </c>
      <c r="B145" s="170" t="s">
        <v>339</v>
      </c>
      <c r="C145" s="170" t="s">
        <v>2902</v>
      </c>
      <c r="D145" s="170" t="str">
        <f>VLOOKUP(B145,'HECVAT - Full | Vendor Response'!A$4:D$320,4,TRUE)</f>
        <v>Weave staff lock screens, are required to use biometrics, and always use a secure VPN.</v>
      </c>
      <c r="E145" s="187" t="s">
        <v>115</v>
      </c>
      <c r="F145" s="187"/>
      <c r="G145" s="187" t="s">
        <v>2903</v>
      </c>
      <c r="H145" s="181" t="s">
        <v>2904</v>
      </c>
      <c r="I145" s="188" t="s">
        <v>2905</v>
      </c>
      <c r="J145" s="266" t="str">
        <f t="shared" si="9"/>
        <v>FALSE</v>
      </c>
      <c r="K145" s="173">
        <v>1</v>
      </c>
      <c r="L145" s="266" t="s">
        <v>296</v>
      </c>
      <c r="M145" s="267" t="s">
        <v>102</v>
      </c>
      <c r="N145" s="267" t="str">
        <f>VLOOKUP(B145,'HECVAT - Full | Vendor Response'!A:E,3,FALSE)</f>
        <v>Yes</v>
      </c>
      <c r="O145" s="267" t="str">
        <f>IF(LEN(VLOOKUP(B145,'Analyst Report'!$A:$I,7,FALSE))= 0,"",VLOOKUP(B145,'Analyst Report'!$A:$I,7,FALSE))</f>
        <v/>
      </c>
      <c r="P145" s="267">
        <f t="shared" si="13"/>
        <v>1</v>
      </c>
      <c r="Q145" s="267">
        <v>20</v>
      </c>
      <c r="R145" s="267">
        <f>IF(LEN(VLOOKUP(B145,'Analyst Report'!$A$31:$I$288,9,FALSE))=0,VLOOKUP(B145,'Analyst Report'!$A$31:$I$288,8,FALSE),VLOOKUP(B145,'Analyst Report'!$A$31:$I$288,9,FALSE))</f>
        <v>20</v>
      </c>
      <c r="S145" s="267">
        <f t="shared" si="10"/>
        <v>20</v>
      </c>
      <c r="T145" s="267">
        <f t="shared" si="14"/>
        <v>20</v>
      </c>
      <c r="U145" s="164" t="s">
        <v>115</v>
      </c>
      <c r="V145" s="164" t="s">
        <v>115</v>
      </c>
      <c r="W145" s="164" t="s">
        <v>115</v>
      </c>
      <c r="X145" s="164" t="s">
        <v>115</v>
      </c>
      <c r="Y145" s="164" t="s">
        <v>115</v>
      </c>
      <c r="Z145" s="164" t="s">
        <v>115</v>
      </c>
      <c r="AA145" s="164" t="s">
        <v>115</v>
      </c>
      <c r="AB145" s="164" t="s">
        <v>115</v>
      </c>
    </row>
    <row r="146" spans="1:28" ht="408.95" customHeight="1">
      <c r="A146" s="169">
        <f t="shared" si="11"/>
        <v>129</v>
      </c>
      <c r="B146" s="170" t="s">
        <v>342</v>
      </c>
      <c r="C146" s="170" t="s">
        <v>2906</v>
      </c>
      <c r="D146" s="170">
        <f>VLOOKUP(B146,'HECVAT - Full | Vendor Response'!A$4:D$320,4,TRUE)</f>
        <v>0</v>
      </c>
      <c r="E146" s="265" t="s">
        <v>115</v>
      </c>
      <c r="F146" s="265"/>
      <c r="G146" s="265" t="s">
        <v>2907</v>
      </c>
      <c r="H146" s="175" t="s">
        <v>2908</v>
      </c>
      <c r="I146" s="197" t="s">
        <v>2909</v>
      </c>
      <c r="J146" s="266" t="str">
        <f t="shared" ref="J146:J184" si="15">IF(S146&gt;20,"TRUE","FALSE")</f>
        <v>FALSE</v>
      </c>
      <c r="K146" s="173">
        <f>IF(OR(N$24="2",N$24="3",N$24="7"),1,0)</f>
        <v>0</v>
      </c>
      <c r="L146" s="266" t="s">
        <v>341</v>
      </c>
      <c r="M146" s="267" t="s">
        <v>102</v>
      </c>
      <c r="N146" s="267">
        <f>VLOOKUP(B146,'HECVAT - Full | Vendor Response'!A:E,3,FALSE)</f>
        <v>0</v>
      </c>
      <c r="O146" s="267" t="str">
        <f>IF(LEN(VLOOKUP(B146,'Analyst Report'!$A:$I,7,FALSE))= 0,"",VLOOKUP(B146,'Analyst Report'!$A:$I,7,FALSE))</f>
        <v/>
      </c>
      <c r="P146" s="267">
        <f t="shared" si="13"/>
        <v>0</v>
      </c>
      <c r="Q146" s="267">
        <v>20</v>
      </c>
      <c r="R146" s="267">
        <f>IF(LEN(VLOOKUP(B146,'Analyst Report'!$A$31:$I$288,9,FALSE))=0,VLOOKUP(B146,'Analyst Report'!$A$31:$I$288,8,FALSE),VLOOKUP(B146,'Analyst Report'!$A$31:$I$288,9,FALSE))</f>
        <v>20</v>
      </c>
      <c r="S146" s="267">
        <f t="shared" si="10"/>
        <v>0</v>
      </c>
      <c r="T146" s="267">
        <f t="shared" si="14"/>
        <v>0</v>
      </c>
      <c r="U146" s="164" t="s">
        <v>115</v>
      </c>
      <c r="V146" s="164" t="s">
        <v>115</v>
      </c>
      <c r="W146" s="164" t="s">
        <v>115</v>
      </c>
      <c r="X146" s="164" t="s">
        <v>115</v>
      </c>
      <c r="Y146" s="164" t="s">
        <v>115</v>
      </c>
      <c r="Z146" s="164" t="s">
        <v>115</v>
      </c>
      <c r="AA146" s="164" t="s">
        <v>115</v>
      </c>
      <c r="AB146" s="164" t="s">
        <v>115</v>
      </c>
    </row>
    <row r="147" spans="1:28" ht="270">
      <c r="A147" s="169">
        <f t="shared" si="11"/>
        <v>130</v>
      </c>
      <c r="B147" s="170" t="s">
        <v>343</v>
      </c>
      <c r="C147" s="170" t="s">
        <v>2910</v>
      </c>
      <c r="D147" s="170" t="str">
        <f>VLOOKUP(B147,'HECVAT - Full | Vendor Response'!A$4:D$320,4,TRUE)</f>
        <v>Weave utilizes AWS East/Virginia availability zone regardless of where the institution is located.</v>
      </c>
      <c r="E147" s="165" t="s">
        <v>2911</v>
      </c>
      <c r="F147" s="165" t="s">
        <v>2912</v>
      </c>
      <c r="G147" s="187"/>
      <c r="H147" s="177" t="s">
        <v>2913</v>
      </c>
      <c r="I147" s="177" t="s">
        <v>2914</v>
      </c>
      <c r="J147" s="266" t="str">
        <f t="shared" si="15"/>
        <v>FALSE</v>
      </c>
      <c r="K147" s="173">
        <v>1</v>
      </c>
      <c r="L147" s="266" t="s">
        <v>341</v>
      </c>
      <c r="M147" s="267" t="s">
        <v>102</v>
      </c>
      <c r="N147" s="267" t="str">
        <f>VLOOKUP(B147,'HECVAT - Full | Vendor Response'!A:E,3,FALSE)</f>
        <v>No</v>
      </c>
      <c r="O147" s="267" t="str">
        <f>IF(LEN(VLOOKUP(B147,'Analyst Report'!$A:$I,7,FALSE))= 0,"",VLOOKUP(B147,'Analyst Report'!$A:$I,7,FALSE))</f>
        <v/>
      </c>
      <c r="P147" s="267">
        <f t="shared" si="13"/>
        <v>0</v>
      </c>
      <c r="Q147" s="267">
        <v>20</v>
      </c>
      <c r="R147" s="267">
        <f>IF(LEN(VLOOKUP(B147,'Analyst Report'!$A$31:$I$288,9,FALSE))=0,VLOOKUP(B147,'Analyst Report'!$A$31:$I$288,8,FALSE),VLOOKUP(B147,'Analyst Report'!$A$31:$I$288,9,FALSE))</f>
        <v>20</v>
      </c>
      <c r="S147" s="267">
        <f t="shared" si="10"/>
        <v>20</v>
      </c>
      <c r="T147" s="267">
        <f t="shared" si="14"/>
        <v>0</v>
      </c>
      <c r="U147" s="164" t="s">
        <v>115</v>
      </c>
      <c r="V147" s="164" t="s">
        <v>115</v>
      </c>
      <c r="W147" s="164" t="s">
        <v>115</v>
      </c>
      <c r="X147" s="164" t="s">
        <v>115</v>
      </c>
      <c r="Y147" s="164" t="s">
        <v>115</v>
      </c>
      <c r="Z147" s="164" t="s">
        <v>115</v>
      </c>
      <c r="AA147" s="164" t="s">
        <v>115</v>
      </c>
      <c r="AB147" s="164" t="s">
        <v>115</v>
      </c>
    </row>
    <row r="148" spans="1:28" ht="135">
      <c r="A148" s="169">
        <f t="shared" si="11"/>
        <v>131</v>
      </c>
      <c r="B148" s="170" t="s">
        <v>345</v>
      </c>
      <c r="C148" s="170" t="s">
        <v>2915</v>
      </c>
      <c r="D148" s="170">
        <f>VLOOKUP(B148,'HECVAT - Full | Vendor Response'!A$4:D$320,4,TRUE)</f>
        <v>0</v>
      </c>
      <c r="E148" s="265" t="s">
        <v>115</v>
      </c>
      <c r="F148" s="265" t="s">
        <v>2916</v>
      </c>
      <c r="G148" s="265" t="s">
        <v>2917</v>
      </c>
      <c r="H148" s="175" t="s">
        <v>2918</v>
      </c>
      <c r="I148" s="175" t="s">
        <v>2919</v>
      </c>
      <c r="J148" s="266" t="str">
        <f t="shared" si="15"/>
        <v>FALSE</v>
      </c>
      <c r="K148" s="173">
        <f>IF(OR(N$24="1",N$24="2"),1,0)</f>
        <v>0</v>
      </c>
      <c r="L148" s="266" t="s">
        <v>341</v>
      </c>
      <c r="M148" s="267" t="s">
        <v>102</v>
      </c>
      <c r="N148" s="267">
        <f>VLOOKUP(B148,'HECVAT - Full | Vendor Response'!A:E,3,FALSE)</f>
        <v>0</v>
      </c>
      <c r="O148" s="267" t="str">
        <f>IF(LEN(VLOOKUP(B148,'Analyst Report'!$A:$I,7,FALSE))= 0,"",VLOOKUP(B148,'Analyst Report'!$A:$I,7,FALSE))</f>
        <v/>
      </c>
      <c r="P148" s="267">
        <f t="shared" si="13"/>
        <v>0</v>
      </c>
      <c r="Q148" s="267">
        <v>20</v>
      </c>
      <c r="R148" s="267">
        <f>IF(LEN(VLOOKUP(B148,'Analyst Report'!$A$31:$I$288,9,FALSE))=0,VLOOKUP(B148,'Analyst Report'!$A$31:$I$288,8,FALSE),VLOOKUP(B148,'Analyst Report'!$A$31:$I$288,9,FALSE))</f>
        <v>20</v>
      </c>
      <c r="S148" s="267">
        <f t="shared" si="10"/>
        <v>0</v>
      </c>
      <c r="T148" s="267">
        <f t="shared" si="14"/>
        <v>0</v>
      </c>
      <c r="U148" s="164" t="s">
        <v>115</v>
      </c>
      <c r="V148" s="164" t="s">
        <v>115</v>
      </c>
      <c r="W148" s="164" t="s">
        <v>115</v>
      </c>
      <c r="X148" s="164" t="s">
        <v>115</v>
      </c>
      <c r="Y148" s="164" t="s">
        <v>115</v>
      </c>
      <c r="Z148" s="164" t="s">
        <v>115</v>
      </c>
      <c r="AA148" s="164" t="s">
        <v>115</v>
      </c>
      <c r="AB148" s="164" t="s">
        <v>115</v>
      </c>
    </row>
    <row r="149" spans="1:28" ht="150">
      <c r="A149" s="169">
        <f t="shared" si="11"/>
        <v>132</v>
      </c>
      <c r="B149" s="170" t="s">
        <v>346</v>
      </c>
      <c r="C149" s="170" t="s">
        <v>2920</v>
      </c>
      <c r="D149" s="170">
        <f>VLOOKUP(B149,'HECVAT - Full | Vendor Response'!A$4:D$320,4,TRUE)</f>
        <v>0</v>
      </c>
      <c r="E149" s="265" t="s">
        <v>115</v>
      </c>
      <c r="F149" s="265" t="s">
        <v>2921</v>
      </c>
      <c r="G149" s="265" t="s">
        <v>2922</v>
      </c>
      <c r="H149" s="175" t="s">
        <v>2923</v>
      </c>
      <c r="I149" s="175" t="s">
        <v>2924</v>
      </c>
      <c r="J149" s="266" t="str">
        <f t="shared" si="15"/>
        <v>FALSE</v>
      </c>
      <c r="K149" s="173">
        <f>IF(OR(N$24="1",N$24="2"),1,0)</f>
        <v>0</v>
      </c>
      <c r="L149" s="266" t="s">
        <v>341</v>
      </c>
      <c r="M149" s="267" t="s">
        <v>102</v>
      </c>
      <c r="N149" s="267">
        <f>VLOOKUP(B149,'HECVAT - Full | Vendor Response'!A:E,3,FALSE)</f>
        <v>0</v>
      </c>
      <c r="O149" s="267" t="str">
        <f>IF(LEN(VLOOKUP(B149,'Analyst Report'!$A:$I,7,FALSE))= 0,"",VLOOKUP(B149,'Analyst Report'!$A:$I,7,FALSE))</f>
        <v/>
      </c>
      <c r="P149" s="267">
        <f t="shared" si="13"/>
        <v>0</v>
      </c>
      <c r="Q149" s="267">
        <v>20</v>
      </c>
      <c r="R149" s="267">
        <f>IF(LEN(VLOOKUP(B149,'Analyst Report'!$A$31:$I$288,9,FALSE))=0,VLOOKUP(B149,'Analyst Report'!$A$31:$I$288,8,FALSE),VLOOKUP(B149,'Analyst Report'!$A$31:$I$288,9,FALSE))</f>
        <v>20</v>
      </c>
      <c r="S149" s="267">
        <f t="shared" si="10"/>
        <v>0</v>
      </c>
      <c r="T149" s="267">
        <f t="shared" si="14"/>
        <v>0</v>
      </c>
      <c r="U149" s="164" t="s">
        <v>115</v>
      </c>
      <c r="V149" s="164" t="s">
        <v>115</v>
      </c>
      <c r="W149" s="164" t="s">
        <v>115</v>
      </c>
      <c r="X149" s="164" t="s">
        <v>115</v>
      </c>
      <c r="Y149" s="164" t="s">
        <v>115</v>
      </c>
      <c r="Z149" s="164" t="s">
        <v>115</v>
      </c>
      <c r="AA149" s="164" t="s">
        <v>115</v>
      </c>
      <c r="AB149" s="164" t="s">
        <v>115</v>
      </c>
    </row>
    <row r="150" spans="1:28" ht="150">
      <c r="A150" s="169">
        <f t="shared" si="11"/>
        <v>133</v>
      </c>
      <c r="B150" s="170" t="s">
        <v>347</v>
      </c>
      <c r="C150" s="170" t="s">
        <v>2925</v>
      </c>
      <c r="D150" s="170">
        <f>VLOOKUP(B150,'HECVAT - Full | Vendor Response'!A$4:D$320,4,TRUE)</f>
        <v>0</v>
      </c>
      <c r="E150" s="265" t="s">
        <v>115</v>
      </c>
      <c r="F150" s="265" t="s">
        <v>2926</v>
      </c>
      <c r="G150" s="265"/>
      <c r="H150" s="175" t="s">
        <v>2923</v>
      </c>
      <c r="I150" s="175" t="s">
        <v>2924</v>
      </c>
      <c r="J150" s="266" t="str">
        <f t="shared" si="15"/>
        <v>FALSE</v>
      </c>
      <c r="K150" s="173">
        <f>IF(OR(N$24="1",N$24="2"),1,0)</f>
        <v>0</v>
      </c>
      <c r="L150" s="266" t="s">
        <v>341</v>
      </c>
      <c r="M150" s="267" t="s">
        <v>102</v>
      </c>
      <c r="N150" s="267">
        <f>VLOOKUP(B150,'HECVAT - Full | Vendor Response'!A:E,3,FALSE)</f>
        <v>0</v>
      </c>
      <c r="O150" s="267" t="str">
        <f>IF(LEN(VLOOKUP(B150,'Analyst Report'!$A:$I,7,FALSE))= 0,"",VLOOKUP(B150,'Analyst Report'!$A:$I,7,FALSE))</f>
        <v/>
      </c>
      <c r="P150" s="267">
        <f t="shared" si="13"/>
        <v>0</v>
      </c>
      <c r="Q150" s="267">
        <v>25</v>
      </c>
      <c r="R150" s="267">
        <f>IF(LEN(VLOOKUP(B150,'Analyst Report'!$A$31:$I$288,9,FALSE))=0,VLOOKUP(B150,'Analyst Report'!$A$31:$I$288,8,FALSE),VLOOKUP(B150,'Analyst Report'!$A$31:$I$288,9,FALSE))</f>
        <v>25</v>
      </c>
      <c r="S150" s="267">
        <f t="shared" si="10"/>
        <v>0</v>
      </c>
      <c r="T150" s="267">
        <f t="shared" si="14"/>
        <v>0</v>
      </c>
      <c r="U150" s="164" t="s">
        <v>115</v>
      </c>
      <c r="V150" s="164" t="s">
        <v>115</v>
      </c>
      <c r="W150" s="164" t="s">
        <v>115</v>
      </c>
      <c r="X150" s="164" t="s">
        <v>115</v>
      </c>
      <c r="Y150" s="164" t="s">
        <v>115</v>
      </c>
      <c r="Z150" s="164" t="s">
        <v>115</v>
      </c>
      <c r="AA150" s="164" t="s">
        <v>115</v>
      </c>
      <c r="AB150" s="164" t="s">
        <v>115</v>
      </c>
    </row>
    <row r="151" spans="1:28" ht="150">
      <c r="A151" s="169">
        <f t="shared" ref="A151:A214" si="16">A150+1</f>
        <v>134</v>
      </c>
      <c r="B151" s="170" t="s">
        <v>348</v>
      </c>
      <c r="C151" s="170" t="s">
        <v>2927</v>
      </c>
      <c r="D151" s="170" t="str">
        <f>VLOOKUP(B151,'HECVAT - Full | Vendor Response'!A$4:D$320,4,TRUE)</f>
        <v>Weave uses AWS with a separate availability zone for backups</v>
      </c>
      <c r="E151" s="265" t="s">
        <v>115</v>
      </c>
      <c r="F151" s="265" t="s">
        <v>2928</v>
      </c>
      <c r="G151" s="265" t="s">
        <v>2929</v>
      </c>
      <c r="H151" s="175" t="s">
        <v>2930</v>
      </c>
      <c r="I151" s="175" t="s">
        <v>2931</v>
      </c>
      <c r="J151" s="266" t="str">
        <f t="shared" si="15"/>
        <v>FALSE</v>
      </c>
      <c r="K151" s="173">
        <v>1</v>
      </c>
      <c r="L151" s="266" t="s">
        <v>341</v>
      </c>
      <c r="M151" s="267" t="s">
        <v>102</v>
      </c>
      <c r="N151" s="267" t="str">
        <f>VLOOKUP(B151,'HECVAT - Full | Vendor Response'!A:E,3,FALSE)</f>
        <v>Yes</v>
      </c>
      <c r="O151" s="267" t="str">
        <f>IF(LEN(VLOOKUP(B151,'Analyst Report'!$A:$I,7,FALSE))= 0,"",VLOOKUP(B151,'Analyst Report'!$A:$I,7,FALSE))</f>
        <v/>
      </c>
      <c r="P151" s="267">
        <f t="shared" si="13"/>
        <v>1</v>
      </c>
      <c r="Q151" s="267">
        <v>20</v>
      </c>
      <c r="R151" s="267">
        <f>IF(LEN(VLOOKUP(B151,'Analyst Report'!$A$31:$I$288,9,FALSE))=0,VLOOKUP(B151,'Analyst Report'!$A$31:$I$288,8,FALSE),VLOOKUP(B151,'Analyst Report'!$A$31:$I$288,9,FALSE))</f>
        <v>20</v>
      </c>
      <c r="S151" s="267">
        <f t="shared" ref="S151:S211" si="17">(IF((ISNUMBER(R151)),R151,Q151))*K151</f>
        <v>20</v>
      </c>
      <c r="T151" s="267">
        <f t="shared" si="14"/>
        <v>20</v>
      </c>
      <c r="U151" s="164" t="s">
        <v>115</v>
      </c>
      <c r="V151" s="164" t="s">
        <v>115</v>
      </c>
      <c r="W151" s="164" t="s">
        <v>115</v>
      </c>
      <c r="X151" s="164" t="s">
        <v>115</v>
      </c>
      <c r="Y151" s="164" t="s">
        <v>115</v>
      </c>
      <c r="Z151" s="164" t="s">
        <v>115</v>
      </c>
      <c r="AA151" s="164" t="s">
        <v>115</v>
      </c>
      <c r="AB151" s="164" t="s">
        <v>115</v>
      </c>
    </row>
    <row r="152" spans="1:28" ht="150">
      <c r="A152" s="169">
        <f t="shared" si="16"/>
        <v>135</v>
      </c>
      <c r="B152" s="170" t="s">
        <v>350</v>
      </c>
      <c r="C152" s="170" t="s">
        <v>2932</v>
      </c>
      <c r="D152" s="170" t="str">
        <f>VLOOKUP(B152,'HECVAT - Full | Vendor Response'!A$4:D$320,4,TRUE)</f>
        <v>Weave inherits from AWS</v>
      </c>
      <c r="E152" s="265" t="s">
        <v>115</v>
      </c>
      <c r="F152" s="265" t="s">
        <v>115</v>
      </c>
      <c r="G152" s="265" t="s">
        <v>2933</v>
      </c>
      <c r="H152" s="175" t="s">
        <v>2870</v>
      </c>
      <c r="I152" s="175" t="s">
        <v>2871</v>
      </c>
      <c r="J152" s="266" t="str">
        <f t="shared" si="15"/>
        <v>FALSE</v>
      </c>
      <c r="K152" s="173">
        <f>IF(N$24="1",0,1)</f>
        <v>1</v>
      </c>
      <c r="L152" s="266" t="s">
        <v>341</v>
      </c>
      <c r="M152" s="267" t="s">
        <v>102</v>
      </c>
      <c r="N152" s="267" t="str">
        <f>VLOOKUP(B152,'HECVAT - Full | Vendor Response'!A:E,3,FALSE)</f>
        <v>No</v>
      </c>
      <c r="O152" s="267" t="str">
        <f>IF(LEN(VLOOKUP(B152,'Analyst Report'!$A:$I,7,FALSE))= 0,"",VLOOKUP(B152,'Analyst Report'!$A:$I,7,FALSE))</f>
        <v/>
      </c>
      <c r="P152" s="267">
        <f t="shared" si="13"/>
        <v>0</v>
      </c>
      <c r="Q152" s="267">
        <v>20</v>
      </c>
      <c r="R152" s="267">
        <f>IF(LEN(VLOOKUP(B152,'Analyst Report'!$A$31:$I$288,9,FALSE))=0,VLOOKUP(B152,'Analyst Report'!$A$31:$I$288,8,FALSE),VLOOKUP(B152,'Analyst Report'!$A$31:$I$288,9,FALSE))</f>
        <v>20</v>
      </c>
      <c r="S152" s="267">
        <f t="shared" si="17"/>
        <v>20</v>
      </c>
      <c r="T152" s="267">
        <f t="shared" si="14"/>
        <v>0</v>
      </c>
      <c r="U152" s="164" t="s">
        <v>115</v>
      </c>
      <c r="V152" s="164" t="s">
        <v>115</v>
      </c>
      <c r="W152" s="164" t="s">
        <v>115</v>
      </c>
      <c r="X152" s="164" t="s">
        <v>115</v>
      </c>
      <c r="Y152" s="164" t="s">
        <v>115</v>
      </c>
      <c r="Z152" s="164" t="s">
        <v>115</v>
      </c>
      <c r="AA152" s="164" t="s">
        <v>115</v>
      </c>
      <c r="AB152" s="164" t="s">
        <v>115</v>
      </c>
    </row>
    <row r="153" spans="1:28" ht="75">
      <c r="A153" s="169">
        <f t="shared" si="16"/>
        <v>136</v>
      </c>
      <c r="B153" s="170" t="s">
        <v>352</v>
      </c>
      <c r="C153" s="170" t="s">
        <v>2934</v>
      </c>
      <c r="D153" s="170">
        <f>VLOOKUP(B153,'HECVAT - Full | Vendor Response'!A$4:D$320,4,TRUE)</f>
        <v>0</v>
      </c>
      <c r="E153" s="265" t="s">
        <v>2935</v>
      </c>
      <c r="F153" s="265" t="s">
        <v>115</v>
      </c>
      <c r="G153" s="265" t="s">
        <v>115</v>
      </c>
      <c r="H153" s="175" t="s">
        <v>2936</v>
      </c>
      <c r="I153" s="175" t="s">
        <v>2937</v>
      </c>
      <c r="J153" s="266" t="str">
        <f t="shared" si="15"/>
        <v>FALSE</v>
      </c>
      <c r="K153" s="173">
        <f>IF(OR(N$24="1",N$24="2"),1,0)</f>
        <v>0</v>
      </c>
      <c r="L153" s="266" t="s">
        <v>341</v>
      </c>
      <c r="M153" s="267" t="s">
        <v>102</v>
      </c>
      <c r="N153" s="267">
        <f>VLOOKUP(B153,'HECVAT - Full | Vendor Response'!A:E,3,FALSE)</f>
        <v>0</v>
      </c>
      <c r="O153" s="267" t="str">
        <f>IF(LEN(VLOOKUP(B153,'Analyst Report'!$A:$I,7,FALSE))= 0,"",VLOOKUP(B153,'Analyst Report'!$A:$I,7,FALSE))</f>
        <v/>
      </c>
      <c r="P153" s="267">
        <f t="shared" si="13"/>
        <v>0</v>
      </c>
      <c r="Q153" s="267">
        <v>20</v>
      </c>
      <c r="R153" s="267">
        <f>IF(LEN(VLOOKUP(B153,'Analyst Report'!$A$31:$I$288,9,FALSE))=0,VLOOKUP(B153,'Analyst Report'!$A$31:$I$288,8,FALSE),VLOOKUP(B153,'Analyst Report'!$A$31:$I$288,9,FALSE))</f>
        <v>20</v>
      </c>
      <c r="S153" s="267">
        <f t="shared" si="17"/>
        <v>0</v>
      </c>
      <c r="T153" s="267">
        <f t="shared" si="14"/>
        <v>0</v>
      </c>
      <c r="U153" s="164" t="s">
        <v>115</v>
      </c>
      <c r="V153" s="164" t="s">
        <v>115</v>
      </c>
      <c r="W153" s="164" t="s">
        <v>115</v>
      </c>
      <c r="X153" s="164" t="s">
        <v>115</v>
      </c>
      <c r="Y153" s="164" t="s">
        <v>115</v>
      </c>
      <c r="Z153" s="164" t="s">
        <v>115</v>
      </c>
      <c r="AA153" s="164" t="s">
        <v>115</v>
      </c>
      <c r="AB153" s="164" t="s">
        <v>115</v>
      </c>
    </row>
    <row r="154" spans="1:28" ht="105">
      <c r="A154" s="169">
        <f t="shared" si="16"/>
        <v>137</v>
      </c>
      <c r="B154" s="170" t="s">
        <v>353</v>
      </c>
      <c r="C154" s="170" t="s">
        <v>2938</v>
      </c>
      <c r="D154" s="170" t="str">
        <f>VLOOKUP(B154,'HECVAT - Full | Vendor Response'!A$4:D$320,4,TRUE)</f>
        <v>Weave uses AWS with multiple availability zones</v>
      </c>
      <c r="E154" s="265" t="s">
        <v>115</v>
      </c>
      <c r="F154" s="265" t="s">
        <v>2939</v>
      </c>
      <c r="G154" s="265" t="s">
        <v>2940</v>
      </c>
      <c r="H154" s="175" t="s">
        <v>2726</v>
      </c>
      <c r="I154" s="175" t="s">
        <v>2727</v>
      </c>
      <c r="J154" s="266" t="str">
        <f t="shared" si="15"/>
        <v>FALSE</v>
      </c>
      <c r="K154" s="173">
        <v>1</v>
      </c>
      <c r="L154" s="266" t="s">
        <v>341</v>
      </c>
      <c r="M154" s="267" t="s">
        <v>102</v>
      </c>
      <c r="N154" s="267" t="str">
        <f>VLOOKUP(B154,'HECVAT - Full | Vendor Response'!A:E,3,FALSE)</f>
        <v>Yes</v>
      </c>
      <c r="O154" s="267" t="str">
        <f>IF(LEN(VLOOKUP(B154,'Analyst Report'!$A:$I,7,FALSE))= 0,"",VLOOKUP(B154,'Analyst Report'!$A:$I,7,FALSE))</f>
        <v/>
      </c>
      <c r="P154" s="267">
        <f t="shared" si="13"/>
        <v>1</v>
      </c>
      <c r="Q154" s="267">
        <v>20</v>
      </c>
      <c r="R154" s="267">
        <f>IF(LEN(VLOOKUP(B154,'Analyst Report'!$A$31:$I$288,9,FALSE))=0,VLOOKUP(B154,'Analyst Report'!$A$31:$I$288,8,FALSE),VLOOKUP(B154,'Analyst Report'!$A$31:$I$288,9,FALSE))</f>
        <v>20</v>
      </c>
      <c r="S154" s="267">
        <f t="shared" si="17"/>
        <v>20</v>
      </c>
      <c r="T154" s="267">
        <f t="shared" si="14"/>
        <v>20</v>
      </c>
      <c r="U154" s="164" t="s">
        <v>115</v>
      </c>
      <c r="V154" s="164" t="s">
        <v>115</v>
      </c>
      <c r="W154" s="164" t="s">
        <v>115</v>
      </c>
      <c r="X154" s="164" t="s">
        <v>115</v>
      </c>
      <c r="Y154" s="164" t="s">
        <v>115</v>
      </c>
      <c r="Z154" s="164" t="s">
        <v>115</v>
      </c>
      <c r="AA154" s="164" t="s">
        <v>115</v>
      </c>
      <c r="AB154" s="164" t="s">
        <v>115</v>
      </c>
    </row>
    <row r="155" spans="1:28" ht="105">
      <c r="A155" s="169">
        <f t="shared" si="16"/>
        <v>138</v>
      </c>
      <c r="B155" s="170" t="s">
        <v>355</v>
      </c>
      <c r="C155" s="170" t="s">
        <v>2941</v>
      </c>
      <c r="D155" s="170">
        <f>VLOOKUP(B155,'HECVAT - Full | Vendor Response'!A$4:D$320,4,TRUE)</f>
        <v>0</v>
      </c>
      <c r="E155" s="265" t="s">
        <v>115</v>
      </c>
      <c r="F155" s="265" t="s">
        <v>2942</v>
      </c>
      <c r="G155" s="265" t="s">
        <v>2943</v>
      </c>
      <c r="H155" s="175" t="s">
        <v>2726</v>
      </c>
      <c r="I155" s="175" t="s">
        <v>2727</v>
      </c>
      <c r="J155" s="266" t="str">
        <f t="shared" si="15"/>
        <v>FALSE</v>
      </c>
      <c r="K155" s="173">
        <f>IF(OR(N$24="1",N$24="2"),1,0)</f>
        <v>0</v>
      </c>
      <c r="L155" s="266" t="s">
        <v>341</v>
      </c>
      <c r="M155" s="267" t="s">
        <v>102</v>
      </c>
      <c r="N155" s="267">
        <f>VLOOKUP(B155,'HECVAT - Full | Vendor Response'!A:E,3,FALSE)</f>
        <v>0</v>
      </c>
      <c r="O155" s="267" t="str">
        <f>IF(LEN(VLOOKUP(B155,'Analyst Report'!$A:$I,7,FALSE))= 0,"",VLOOKUP(B155,'Analyst Report'!$A:$I,7,FALSE))</f>
        <v/>
      </c>
      <c r="P155" s="267">
        <f t="shared" si="13"/>
        <v>0</v>
      </c>
      <c r="Q155" s="267">
        <v>20</v>
      </c>
      <c r="R155" s="267">
        <f>IF(LEN(VLOOKUP(B155,'Analyst Report'!$A$31:$I$288,9,FALSE))=0,VLOOKUP(B155,'Analyst Report'!$A$31:$I$288,8,FALSE),VLOOKUP(B155,'Analyst Report'!$A$31:$I$288,9,FALSE))</f>
        <v>20</v>
      </c>
      <c r="S155" s="267">
        <f t="shared" si="17"/>
        <v>0</v>
      </c>
      <c r="T155" s="267">
        <f t="shared" si="14"/>
        <v>0</v>
      </c>
      <c r="U155" s="164" t="s">
        <v>115</v>
      </c>
      <c r="V155" s="164" t="s">
        <v>115</v>
      </c>
      <c r="W155" s="164" t="s">
        <v>115</v>
      </c>
      <c r="X155" s="164" t="s">
        <v>115</v>
      </c>
      <c r="Y155" s="164" t="s">
        <v>115</v>
      </c>
      <c r="Z155" s="164" t="s">
        <v>115</v>
      </c>
      <c r="AA155" s="164" t="s">
        <v>115</v>
      </c>
      <c r="AB155" s="164" t="s">
        <v>115</v>
      </c>
    </row>
    <row r="156" spans="1:28" ht="150">
      <c r="A156" s="169">
        <f t="shared" si="16"/>
        <v>139</v>
      </c>
      <c r="B156" s="170" t="s">
        <v>356</v>
      </c>
      <c r="C156" s="170" t="s">
        <v>2944</v>
      </c>
      <c r="D156" s="170">
        <f>VLOOKUP(B156,'HECVAT - Full | Vendor Response'!A$4:D$320,4,TRUE)</f>
        <v>0</v>
      </c>
      <c r="E156" s="265" t="s">
        <v>115</v>
      </c>
      <c r="F156" s="265" t="s">
        <v>2945</v>
      </c>
      <c r="G156" s="265" t="s">
        <v>2946</v>
      </c>
      <c r="H156" s="175" t="s">
        <v>2947</v>
      </c>
      <c r="I156" s="175" t="s">
        <v>2948</v>
      </c>
      <c r="J156" s="266" t="str">
        <f t="shared" si="15"/>
        <v>FALSE</v>
      </c>
      <c r="K156" s="173">
        <f>IF(OR(N$24="1",N$24="2"),1,0)</f>
        <v>0</v>
      </c>
      <c r="L156" s="266" t="s">
        <v>341</v>
      </c>
      <c r="M156" s="267" t="s">
        <v>102</v>
      </c>
      <c r="N156" s="267">
        <f>VLOOKUP(B156,'HECVAT - Full | Vendor Response'!A:E,3,FALSE)</f>
        <v>0</v>
      </c>
      <c r="O156" s="267" t="str">
        <f>IF(LEN(VLOOKUP(B156,'Analyst Report'!$A:$I,7,FALSE))= 0,"",VLOOKUP(B156,'Analyst Report'!$A:$I,7,FALSE))</f>
        <v/>
      </c>
      <c r="P156" s="267">
        <f t="shared" si="13"/>
        <v>0</v>
      </c>
      <c r="Q156" s="267">
        <v>25</v>
      </c>
      <c r="R156" s="267">
        <f>IF(LEN(VLOOKUP(B156,'Analyst Report'!$A$31:$I$288,9,FALSE))=0,VLOOKUP(B156,'Analyst Report'!$A$31:$I$288,8,FALSE),VLOOKUP(B156,'Analyst Report'!$A$31:$I$288,9,FALSE))</f>
        <v>25</v>
      </c>
      <c r="S156" s="267">
        <f t="shared" si="17"/>
        <v>0</v>
      </c>
      <c r="T156" s="267">
        <f t="shared" si="14"/>
        <v>0</v>
      </c>
      <c r="U156" s="164" t="s">
        <v>115</v>
      </c>
      <c r="V156" s="164" t="s">
        <v>115</v>
      </c>
      <c r="W156" s="164" t="s">
        <v>115</v>
      </c>
      <c r="X156" s="164" t="s">
        <v>115</v>
      </c>
      <c r="Y156" s="164" t="s">
        <v>115</v>
      </c>
      <c r="Z156" s="164" t="s">
        <v>115</v>
      </c>
      <c r="AA156" s="164" t="s">
        <v>115</v>
      </c>
      <c r="AB156" s="164" t="s">
        <v>115</v>
      </c>
    </row>
    <row r="157" spans="1:28" ht="135">
      <c r="A157" s="169">
        <f t="shared" si="16"/>
        <v>140</v>
      </c>
      <c r="B157" s="170" t="s">
        <v>357</v>
      </c>
      <c r="C157" s="170" t="s">
        <v>2949</v>
      </c>
      <c r="D157" s="170">
        <f>VLOOKUP(B157,'HECVAT - Full | Vendor Response'!A$4:D$320,4,TRUE)</f>
        <v>0</v>
      </c>
      <c r="E157" s="265" t="s">
        <v>2950</v>
      </c>
      <c r="F157" s="265"/>
      <c r="G157" s="265"/>
      <c r="H157" s="175" t="s">
        <v>2951</v>
      </c>
      <c r="I157" s="175" t="s">
        <v>2952</v>
      </c>
      <c r="J157" s="266" t="str">
        <f t="shared" si="15"/>
        <v>FALSE</v>
      </c>
      <c r="K157" s="173">
        <f>IF(OR(N$24="1",N$24="2"),1,0)</f>
        <v>0</v>
      </c>
      <c r="L157" s="266" t="s">
        <v>341</v>
      </c>
      <c r="M157" s="267" t="s">
        <v>102</v>
      </c>
      <c r="N157" s="267">
        <f>VLOOKUP(B157,'HECVAT - Full | Vendor Response'!A:E,3,FALSE)</f>
        <v>0</v>
      </c>
      <c r="O157" s="267" t="str">
        <f>IF(LEN(VLOOKUP(B157,'Analyst Report'!$A:$I,7,FALSE))= 0,"",VLOOKUP(B157,'Analyst Report'!$A:$I,7,FALSE))</f>
        <v/>
      </c>
      <c r="P157" s="267">
        <f t="shared" si="13"/>
        <v>0</v>
      </c>
      <c r="Q157" s="267">
        <v>20</v>
      </c>
      <c r="R157" s="267">
        <f>IF(LEN(VLOOKUP(B157,'Analyst Report'!$A$31:$I$288,9,FALSE))=0,VLOOKUP(B157,'Analyst Report'!$A$31:$I$288,8,FALSE),VLOOKUP(B157,'Analyst Report'!$A$31:$I$288,9,FALSE))</f>
        <v>20</v>
      </c>
      <c r="S157" s="267">
        <f t="shared" si="17"/>
        <v>0</v>
      </c>
      <c r="T157" s="267">
        <f t="shared" si="14"/>
        <v>0</v>
      </c>
      <c r="U157" s="164" t="s">
        <v>115</v>
      </c>
      <c r="V157" s="164" t="s">
        <v>115</v>
      </c>
      <c r="W157" s="164" t="s">
        <v>115</v>
      </c>
      <c r="X157" s="164" t="s">
        <v>115</v>
      </c>
      <c r="Y157" s="164" t="s">
        <v>115</v>
      </c>
      <c r="Z157" s="164" t="s">
        <v>115</v>
      </c>
      <c r="AA157" s="164" t="s">
        <v>115</v>
      </c>
      <c r="AB157" s="164" t="s">
        <v>115</v>
      </c>
    </row>
    <row r="158" spans="1:28" ht="105">
      <c r="A158" s="169">
        <f t="shared" si="16"/>
        <v>141</v>
      </c>
      <c r="B158" s="170" t="s">
        <v>358</v>
      </c>
      <c r="C158" s="170" t="s">
        <v>2953</v>
      </c>
      <c r="D158" s="170">
        <f>VLOOKUP(B158,'HECVAT - Full | Vendor Response'!A$4:D$320,4,TRUE)</f>
        <v>0</v>
      </c>
      <c r="E158" s="265" t="s">
        <v>2954</v>
      </c>
      <c r="F158" s="265"/>
      <c r="G158" s="265" t="s">
        <v>2955</v>
      </c>
      <c r="H158" s="175" t="s">
        <v>2726</v>
      </c>
      <c r="I158" s="175" t="s">
        <v>2727</v>
      </c>
      <c r="J158" s="266" t="str">
        <f t="shared" si="15"/>
        <v>FALSE</v>
      </c>
      <c r="K158" s="173">
        <f>IF(OR(N$24="1",N$24="2"),1,0)</f>
        <v>0</v>
      </c>
      <c r="L158" s="266" t="s">
        <v>341</v>
      </c>
      <c r="M158" s="267" t="s">
        <v>102</v>
      </c>
      <c r="N158" s="267">
        <f>VLOOKUP(B158,'HECVAT - Full | Vendor Response'!A:E,3,FALSE)</f>
        <v>0</v>
      </c>
      <c r="O158" s="267" t="str">
        <f>IF(LEN(VLOOKUP(B158,'Analyst Report'!$A:$I,7,FALSE))= 0,"",VLOOKUP(B158,'Analyst Report'!$A:$I,7,FALSE))</f>
        <v/>
      </c>
      <c r="P158" s="267">
        <f t="shared" si="13"/>
        <v>0</v>
      </c>
      <c r="Q158" s="267">
        <v>20</v>
      </c>
      <c r="R158" s="267">
        <f>IF(LEN(VLOOKUP(B158,'Analyst Report'!$A$31:$I$288,9,FALSE))=0,VLOOKUP(B158,'Analyst Report'!$A$31:$I$288,8,FALSE),VLOOKUP(B158,'Analyst Report'!$A$31:$I$288,9,FALSE))</f>
        <v>20</v>
      </c>
      <c r="S158" s="267">
        <f t="shared" si="17"/>
        <v>0</v>
      </c>
      <c r="T158" s="267">
        <f t="shared" si="14"/>
        <v>0</v>
      </c>
      <c r="U158" s="164" t="s">
        <v>115</v>
      </c>
      <c r="V158" s="164" t="s">
        <v>115</v>
      </c>
      <c r="W158" s="164" t="s">
        <v>115</v>
      </c>
      <c r="X158" s="164" t="s">
        <v>115</v>
      </c>
      <c r="Y158" s="164" t="s">
        <v>115</v>
      </c>
      <c r="Z158" s="164" t="s">
        <v>115</v>
      </c>
      <c r="AA158" s="164" t="s">
        <v>115</v>
      </c>
      <c r="AB158" s="164" t="s">
        <v>115</v>
      </c>
    </row>
    <row r="159" spans="1:28" ht="105">
      <c r="A159" s="169">
        <f t="shared" si="16"/>
        <v>142</v>
      </c>
      <c r="B159" s="170" t="s">
        <v>359</v>
      </c>
      <c r="C159" s="170" t="s">
        <v>2956</v>
      </c>
      <c r="D159" s="170">
        <f>VLOOKUP(B159,'HECVAT - Full | Vendor Response'!A$4:D$320,4,TRUE)</f>
        <v>0</v>
      </c>
      <c r="E159" s="265" t="s">
        <v>115</v>
      </c>
      <c r="F159" s="265" t="s">
        <v>2957</v>
      </c>
      <c r="G159" s="265" t="s">
        <v>2958</v>
      </c>
      <c r="H159" s="175" t="s">
        <v>2726</v>
      </c>
      <c r="I159" s="175" t="s">
        <v>2727</v>
      </c>
      <c r="J159" s="266" t="str">
        <f t="shared" si="15"/>
        <v>FALSE</v>
      </c>
      <c r="K159" s="173">
        <f>IF(OR(N$24="1",N$24="2"),1,0)</f>
        <v>0</v>
      </c>
      <c r="L159" s="266" t="s">
        <v>341</v>
      </c>
      <c r="M159" s="267" t="s">
        <v>102</v>
      </c>
      <c r="N159" s="267">
        <f>VLOOKUP(B159,'HECVAT - Full | Vendor Response'!A:E,3,FALSE)</f>
        <v>0</v>
      </c>
      <c r="O159" s="267" t="str">
        <f>IF(LEN(VLOOKUP(B159,'Analyst Report'!$A:$I,7,FALSE))= 0,"",VLOOKUP(B159,'Analyst Report'!$A:$I,7,FALSE))</f>
        <v/>
      </c>
      <c r="P159" s="267">
        <f t="shared" si="13"/>
        <v>0</v>
      </c>
      <c r="Q159" s="267">
        <v>20</v>
      </c>
      <c r="R159" s="267">
        <f>IF(LEN(VLOOKUP(B159,'Analyst Report'!$A$31:$I$288,9,FALSE))=0,VLOOKUP(B159,'Analyst Report'!$A$31:$I$288,8,FALSE),VLOOKUP(B159,'Analyst Report'!$A$31:$I$288,9,FALSE))</f>
        <v>20</v>
      </c>
      <c r="S159" s="267">
        <f t="shared" si="17"/>
        <v>0</v>
      </c>
      <c r="T159" s="267">
        <f t="shared" si="14"/>
        <v>0</v>
      </c>
      <c r="U159" s="164" t="s">
        <v>115</v>
      </c>
      <c r="V159" s="164" t="s">
        <v>115</v>
      </c>
      <c r="W159" s="164" t="s">
        <v>115</v>
      </c>
      <c r="X159" s="164" t="s">
        <v>115</v>
      </c>
      <c r="Y159" s="164" t="s">
        <v>115</v>
      </c>
      <c r="Z159" s="164" t="s">
        <v>115</v>
      </c>
      <c r="AA159" s="164" t="s">
        <v>115</v>
      </c>
      <c r="AB159" s="164" t="s">
        <v>115</v>
      </c>
    </row>
    <row r="160" spans="1:28" ht="105">
      <c r="A160" s="169">
        <f t="shared" si="16"/>
        <v>143</v>
      </c>
      <c r="B160" s="170" t="s">
        <v>360</v>
      </c>
      <c r="C160" s="170" t="s">
        <v>2959</v>
      </c>
      <c r="D160" s="170" t="str">
        <f>VLOOKUP(B160,'HECVAT - Full | Vendor Response'!A$4:D$320,4,TRUE)</f>
        <v xml:space="preserve">Weave requires multi-factor authentication for both staff and users. For AWS administrators, Weave requires either an authentication app or a One-Time text-message passcode to an approved phone number. For regular users, Weave uses a One-Time Passcode emailed to the email address on file. </v>
      </c>
      <c r="E160" s="265" t="s">
        <v>115</v>
      </c>
      <c r="F160" s="265" t="s">
        <v>2960</v>
      </c>
      <c r="G160" s="265" t="s">
        <v>2961</v>
      </c>
      <c r="H160" s="175" t="s">
        <v>2649</v>
      </c>
      <c r="I160" s="175" t="s">
        <v>2650</v>
      </c>
      <c r="J160" s="266" t="str">
        <f t="shared" si="15"/>
        <v>FALSE</v>
      </c>
      <c r="K160" s="173">
        <f>IF(OR(N$24="3",N$24="4",N$24="5",N$24="6"),1,0)</f>
        <v>1</v>
      </c>
      <c r="L160" s="266" t="s">
        <v>341</v>
      </c>
      <c r="M160" s="267" t="s">
        <v>102</v>
      </c>
      <c r="N160" s="267" t="str">
        <f>VLOOKUP(B160,'HECVAT - Full | Vendor Response'!A:E,3,FALSE)</f>
        <v>Yes</v>
      </c>
      <c r="O160" s="267" t="str">
        <f>IF(LEN(VLOOKUP(B160,'Analyst Report'!$A:$I,7,FALSE))= 0,"",VLOOKUP(B160,'Analyst Report'!$A:$I,7,FALSE))</f>
        <v/>
      </c>
      <c r="P160" s="267">
        <f t="shared" si="13"/>
        <v>1</v>
      </c>
      <c r="Q160" s="267">
        <v>20</v>
      </c>
      <c r="R160" s="267">
        <f>IF(LEN(VLOOKUP(B160,'Analyst Report'!$A$31:$I$288,9,FALSE))=0,VLOOKUP(B160,'Analyst Report'!$A$31:$I$288,8,FALSE),VLOOKUP(B160,'Analyst Report'!$A$31:$I$288,9,FALSE))</f>
        <v>20</v>
      </c>
      <c r="S160" s="267">
        <f t="shared" si="17"/>
        <v>20</v>
      </c>
      <c r="T160" s="267">
        <f t="shared" si="14"/>
        <v>20</v>
      </c>
      <c r="U160" s="164" t="s">
        <v>115</v>
      </c>
      <c r="V160" s="164" t="s">
        <v>115</v>
      </c>
      <c r="W160" s="164" t="s">
        <v>115</v>
      </c>
      <c r="X160" s="164" t="s">
        <v>115</v>
      </c>
      <c r="Y160" s="164" t="s">
        <v>115</v>
      </c>
      <c r="Z160" s="164" t="s">
        <v>115</v>
      </c>
      <c r="AA160" s="164" t="s">
        <v>115</v>
      </c>
      <c r="AB160" s="164" t="s">
        <v>115</v>
      </c>
    </row>
    <row r="161" spans="1:28" ht="60">
      <c r="A161" s="169">
        <f t="shared" si="16"/>
        <v>144</v>
      </c>
      <c r="B161" s="170" t="s">
        <v>362</v>
      </c>
      <c r="C161" s="170" t="s">
        <v>2962</v>
      </c>
      <c r="D161" s="170" t="str">
        <f>VLOOKUP(B161,'HECVAT - Full | Vendor Response'!A$4:D$320,4,TRUE)</f>
        <v>Weave inherits from AWS</v>
      </c>
      <c r="E161" s="265" t="s">
        <v>115</v>
      </c>
      <c r="F161" s="265" t="s">
        <v>2963</v>
      </c>
      <c r="G161" s="265" t="s">
        <v>115</v>
      </c>
      <c r="H161" s="175" t="s">
        <v>2964</v>
      </c>
      <c r="I161" s="175" t="s">
        <v>2965</v>
      </c>
      <c r="J161" s="266" t="str">
        <f t="shared" si="15"/>
        <v>FALSE</v>
      </c>
      <c r="K161" s="173">
        <f>IF(OR(N$24="3",N$24="4",N$24="5",N$24="6"),1,0)</f>
        <v>1</v>
      </c>
      <c r="L161" s="266" t="s">
        <v>341</v>
      </c>
      <c r="M161" s="267" t="s">
        <v>102</v>
      </c>
      <c r="N161" s="267" t="str">
        <f>VLOOKUP(B161,'HECVAT - Full | Vendor Response'!A:E,3,FALSE)</f>
        <v>Yes</v>
      </c>
      <c r="O161" s="267" t="str">
        <f>IF(LEN(VLOOKUP(B161,'Analyst Report'!$A:$I,7,FALSE))= 0,"",VLOOKUP(B161,'Analyst Report'!$A:$I,7,FALSE))</f>
        <v/>
      </c>
      <c r="P161" s="267">
        <f t="shared" si="13"/>
        <v>1</v>
      </c>
      <c r="Q161" s="267">
        <v>20</v>
      </c>
      <c r="R161" s="267">
        <f>IF(LEN(VLOOKUP(B161,'Analyst Report'!$A$31:$I$288,9,FALSE))=0,VLOOKUP(B161,'Analyst Report'!$A$31:$I$288,8,FALSE),VLOOKUP(B161,'Analyst Report'!$A$31:$I$288,9,FALSE))</f>
        <v>20</v>
      </c>
      <c r="S161" s="267">
        <f t="shared" si="17"/>
        <v>20</v>
      </c>
      <c r="T161" s="267">
        <f t="shared" si="14"/>
        <v>20</v>
      </c>
      <c r="U161" s="164" t="s">
        <v>115</v>
      </c>
      <c r="V161" s="164" t="s">
        <v>115</v>
      </c>
      <c r="W161" s="164" t="s">
        <v>115</v>
      </c>
      <c r="X161" s="164" t="s">
        <v>115</v>
      </c>
      <c r="Y161" s="164" t="s">
        <v>115</v>
      </c>
      <c r="Z161" s="164" t="s">
        <v>115</v>
      </c>
      <c r="AA161" s="164" t="s">
        <v>115</v>
      </c>
      <c r="AB161" s="164" t="s">
        <v>115</v>
      </c>
    </row>
    <row r="162" spans="1:28" ht="210">
      <c r="A162" s="169">
        <f t="shared" si="16"/>
        <v>145</v>
      </c>
      <c r="B162" s="170" t="s">
        <v>363</v>
      </c>
      <c r="C162" s="170" t="s">
        <v>2966</v>
      </c>
      <c r="D162" s="170" t="str">
        <f>VLOOKUP(B162,'HECVAT - Full | Vendor Response'!A$4:D$320,4,TRUE)</f>
        <v>Weave uses AWS Key Management System</v>
      </c>
      <c r="E162" s="265" t="s">
        <v>2967</v>
      </c>
      <c r="F162" s="265"/>
      <c r="G162" s="265"/>
      <c r="H162" s="175" t="s">
        <v>2879</v>
      </c>
      <c r="I162" s="175" t="s">
        <v>2968</v>
      </c>
      <c r="J162" s="266" t="str">
        <f t="shared" si="15"/>
        <v>FALSE</v>
      </c>
      <c r="K162" s="173">
        <f>IF(OR(N$24="3",N$24="4",N$24="5",N$24="6"),1,0)</f>
        <v>1</v>
      </c>
      <c r="L162" s="266" t="s">
        <v>341</v>
      </c>
      <c r="M162" s="267" t="s">
        <v>100</v>
      </c>
      <c r="N162" s="267" t="str">
        <f>VLOOKUP(B162,'HECVAT - Full | Vendor Response'!A:E,3,FALSE)</f>
        <v>No</v>
      </c>
      <c r="O162" s="267" t="str">
        <f>IF(LEN(VLOOKUP(B162,'Analyst Report'!$A:$I,7,FALSE))= 0,"",VLOOKUP(B162,'Analyst Report'!$A:$I,7,FALSE))</f>
        <v/>
      </c>
      <c r="P162" s="267">
        <f t="shared" si="13"/>
        <v>1</v>
      </c>
      <c r="Q162" s="267">
        <v>20</v>
      </c>
      <c r="R162" s="267">
        <f>IF(LEN(VLOOKUP(B162,'Analyst Report'!$A$31:$I$288,9,FALSE))=0,VLOOKUP(B162,'Analyst Report'!$A$31:$I$288,8,FALSE),VLOOKUP(B162,'Analyst Report'!$A$31:$I$288,9,FALSE))</f>
        <v>20</v>
      </c>
      <c r="S162" s="267">
        <f t="shared" si="17"/>
        <v>20</v>
      </c>
      <c r="T162" s="267">
        <f t="shared" si="14"/>
        <v>20</v>
      </c>
      <c r="U162" s="164" t="s">
        <v>115</v>
      </c>
      <c r="V162" s="164" t="s">
        <v>115</v>
      </c>
      <c r="W162" s="164" t="s">
        <v>115</v>
      </c>
      <c r="X162" s="164" t="s">
        <v>115</v>
      </c>
      <c r="Y162" s="164" t="s">
        <v>115</v>
      </c>
      <c r="Z162" s="164" t="s">
        <v>115</v>
      </c>
      <c r="AA162" s="164" t="s">
        <v>115</v>
      </c>
      <c r="AB162" s="164" t="s">
        <v>115</v>
      </c>
    </row>
    <row r="163" spans="1:28" ht="240">
      <c r="A163" s="169">
        <f t="shared" si="16"/>
        <v>146</v>
      </c>
      <c r="B163" s="176" t="s">
        <v>365</v>
      </c>
      <c r="C163" s="170" t="s">
        <v>2969</v>
      </c>
      <c r="D163" s="170">
        <f>VLOOKUP(B163,'HECVAT - Full | Vendor Response'!A$4:D$320,4,TRUE)</f>
        <v>0</v>
      </c>
      <c r="E163" s="265" t="s">
        <v>2970</v>
      </c>
      <c r="F163" s="265" t="s">
        <v>2971</v>
      </c>
      <c r="G163" s="265" t="s">
        <v>2972</v>
      </c>
      <c r="H163" s="175" t="s">
        <v>2973</v>
      </c>
      <c r="I163" s="175" t="s">
        <v>2974</v>
      </c>
      <c r="J163" s="266" t="str">
        <f t="shared" si="15"/>
        <v>FALSE</v>
      </c>
      <c r="K163" s="173">
        <f>IF(N$21="Yes",1,0)</f>
        <v>1</v>
      </c>
      <c r="L163" s="266" t="s">
        <v>2975</v>
      </c>
      <c r="M163" s="267" t="s">
        <v>102</v>
      </c>
      <c r="N163" s="267" t="str">
        <f>VLOOKUP(B163,'HECVAT - Full | Vendor Response'!A:E,3,FALSE)</f>
        <v>Weave has both a disaster recovery plan and a Business Continuity Plan and are available upon request.</v>
      </c>
      <c r="O163" s="267" t="str">
        <f>IF(LEN(VLOOKUP(B163,'Analyst Report'!$A:$I,7,FALSE))= 0,"",VLOOKUP(B163,'Analyst Report'!$A:$I,7,FALSE))</f>
        <v/>
      </c>
      <c r="P163" s="267">
        <f t="shared" si="13"/>
        <v>0</v>
      </c>
      <c r="Q163" s="267">
        <v>20</v>
      </c>
      <c r="R163" s="267">
        <f>IF(LEN(VLOOKUP(B163,'Analyst Report'!$A$31:$I$288,9,FALSE))=0,VLOOKUP(B163,'Analyst Report'!$A$31:$I$288,8,FALSE),VLOOKUP(B163,'Analyst Report'!$A$31:$I$288,9,FALSE))</f>
        <v>20</v>
      </c>
      <c r="S163" s="267">
        <f t="shared" si="17"/>
        <v>20</v>
      </c>
      <c r="T163" s="267">
        <f t="shared" si="14"/>
        <v>0</v>
      </c>
      <c r="U163" s="164" t="s">
        <v>115</v>
      </c>
      <c r="V163" s="164" t="s">
        <v>115</v>
      </c>
      <c r="W163" s="164" t="s">
        <v>115</v>
      </c>
      <c r="X163" s="164" t="s">
        <v>115</v>
      </c>
      <c r="Y163" s="164" t="s">
        <v>115</v>
      </c>
      <c r="Z163" s="164" t="s">
        <v>115</v>
      </c>
      <c r="AA163" s="164" t="s">
        <v>115</v>
      </c>
      <c r="AB163" s="164" t="s">
        <v>115</v>
      </c>
    </row>
    <row r="164" spans="1:28" ht="120">
      <c r="A164" s="169">
        <f t="shared" si="16"/>
        <v>147</v>
      </c>
      <c r="B164" s="176" t="s">
        <v>367</v>
      </c>
      <c r="C164" s="170" t="s">
        <v>2976</v>
      </c>
      <c r="D164" s="170" t="str">
        <f>VLOOKUP(B164,'HECVAT - Full | Vendor Response'!A$4:D$320,4,TRUE)</f>
        <v>The security manager is responsible for the maintenance and review of the DRP in collaboration with the System Owner.</v>
      </c>
      <c r="E164" s="265" t="s">
        <v>115</v>
      </c>
      <c r="F164" s="265" t="s">
        <v>2977</v>
      </c>
      <c r="G164" s="265" t="s">
        <v>2978</v>
      </c>
      <c r="H164" s="175" t="s">
        <v>2979</v>
      </c>
      <c r="I164" s="175" t="s">
        <v>2980</v>
      </c>
      <c r="J164" s="266" t="str">
        <f t="shared" si="15"/>
        <v>FALSE</v>
      </c>
      <c r="K164" s="173">
        <f t="shared" ref="K164:K173" si="18">IF(N$21="Yes",1,0)</f>
        <v>1</v>
      </c>
      <c r="L164" s="266" t="s">
        <v>2975</v>
      </c>
      <c r="M164" s="267" t="s">
        <v>102</v>
      </c>
      <c r="N164" s="267" t="str">
        <f>VLOOKUP(B164,'HECVAT - Full | Vendor Response'!A:E,3,FALSE)</f>
        <v>Yes</v>
      </c>
      <c r="O164" s="267" t="str">
        <f>IF(LEN(VLOOKUP(B164,'Analyst Report'!$A:$I,7,FALSE))= 0,"",VLOOKUP(B164,'Analyst Report'!$A:$I,7,FALSE))</f>
        <v/>
      </c>
      <c r="P164" s="267">
        <f t="shared" si="13"/>
        <v>1</v>
      </c>
      <c r="Q164" s="267">
        <v>15</v>
      </c>
      <c r="R164" s="267">
        <f>IF(LEN(VLOOKUP(B164,'Analyst Report'!$A$31:$I$288,9,FALSE))=0,VLOOKUP(B164,'Analyst Report'!$A$31:$I$288,8,FALSE),VLOOKUP(B164,'Analyst Report'!$A$31:$I$288,9,FALSE))</f>
        <v>15</v>
      </c>
      <c r="S164" s="267">
        <f t="shared" si="17"/>
        <v>15</v>
      </c>
      <c r="T164" s="267">
        <f t="shared" si="14"/>
        <v>15</v>
      </c>
      <c r="U164" s="164" t="s">
        <v>115</v>
      </c>
      <c r="V164" s="164" t="s">
        <v>115</v>
      </c>
      <c r="W164" s="164" t="s">
        <v>115</v>
      </c>
      <c r="X164" s="164" t="s">
        <v>115</v>
      </c>
      <c r="Y164" s="164" t="s">
        <v>115</v>
      </c>
      <c r="Z164" s="164" t="s">
        <v>115</v>
      </c>
      <c r="AA164" s="164" t="s">
        <v>115</v>
      </c>
      <c r="AB164" s="164" t="s">
        <v>115</v>
      </c>
    </row>
    <row r="165" spans="1:28" ht="120">
      <c r="A165" s="169">
        <f t="shared" si="16"/>
        <v>148</v>
      </c>
      <c r="B165" s="176" t="s">
        <v>369</v>
      </c>
      <c r="C165" s="170" t="s">
        <v>2981</v>
      </c>
      <c r="D165" s="170" t="str">
        <f>VLOOKUP(B165,'HECVAT - Full | Vendor Response'!A$4:D$320,4,TRUE)</f>
        <v>Upon request</v>
      </c>
      <c r="E165" s="265" t="s">
        <v>115</v>
      </c>
      <c r="F165" s="265" t="s">
        <v>2982</v>
      </c>
      <c r="G165" s="265" t="s">
        <v>2983</v>
      </c>
      <c r="H165" s="175" t="s">
        <v>2984</v>
      </c>
      <c r="I165" s="175" t="s">
        <v>2985</v>
      </c>
      <c r="J165" s="266" t="str">
        <f t="shared" si="15"/>
        <v>TRUE</v>
      </c>
      <c r="K165" s="173">
        <f t="shared" si="18"/>
        <v>1</v>
      </c>
      <c r="L165" s="266" t="s">
        <v>2975</v>
      </c>
      <c r="M165" s="267" t="s">
        <v>102</v>
      </c>
      <c r="N165" s="267" t="str">
        <f>VLOOKUP(B165,'HECVAT - Full | Vendor Response'!A:E,3,FALSE)</f>
        <v>Yes</v>
      </c>
      <c r="O165" s="267" t="str">
        <f>IF(LEN(VLOOKUP(B165,'Analyst Report'!$A:$I,7,FALSE))= 0,"",VLOOKUP(B165,'Analyst Report'!$A:$I,7,FALSE))</f>
        <v/>
      </c>
      <c r="P165" s="267">
        <f t="shared" si="13"/>
        <v>1</v>
      </c>
      <c r="Q165" s="267">
        <v>25</v>
      </c>
      <c r="R165" s="267">
        <f>IF(LEN(VLOOKUP(B165,'Analyst Report'!$A$31:$I$288,9,FALSE))=0,VLOOKUP(B165,'Analyst Report'!$A$31:$I$288,8,FALSE),VLOOKUP(B165,'Analyst Report'!$A$31:$I$288,9,FALSE))</f>
        <v>25</v>
      </c>
      <c r="S165" s="267">
        <f t="shared" si="17"/>
        <v>25</v>
      </c>
      <c r="T165" s="267">
        <f t="shared" si="14"/>
        <v>25</v>
      </c>
      <c r="U165" s="164" t="s">
        <v>115</v>
      </c>
      <c r="V165" s="164" t="s">
        <v>115</v>
      </c>
      <c r="W165" s="164" t="s">
        <v>115</v>
      </c>
      <c r="X165" s="164" t="s">
        <v>115</v>
      </c>
      <c r="Y165" s="164" t="s">
        <v>115</v>
      </c>
      <c r="Z165" s="164" t="s">
        <v>115</v>
      </c>
      <c r="AA165" s="164" t="s">
        <v>115</v>
      </c>
      <c r="AB165" s="164" t="s">
        <v>115</v>
      </c>
    </row>
    <row r="166" spans="1:28" ht="150">
      <c r="A166" s="169">
        <f t="shared" si="16"/>
        <v>149</v>
      </c>
      <c r="B166" s="176" t="s">
        <v>371</v>
      </c>
      <c r="C166" s="170" t="s">
        <v>2986</v>
      </c>
      <c r="D166" s="170" t="str">
        <f>VLOOKUP(B166,'HECVAT - Full | Vendor Response'!A$4:D$320,4,TRUE)</f>
        <v>Weave uses AWS with multiple availability zones</v>
      </c>
      <c r="E166" s="265" t="s">
        <v>115</v>
      </c>
      <c r="F166" s="265"/>
      <c r="G166" s="265" t="s">
        <v>2987</v>
      </c>
      <c r="H166" s="175" t="s">
        <v>2870</v>
      </c>
      <c r="I166" s="175" t="s">
        <v>2871</v>
      </c>
      <c r="J166" s="266" t="str">
        <f t="shared" si="15"/>
        <v>FALSE</v>
      </c>
      <c r="K166" s="173">
        <f t="shared" si="18"/>
        <v>1</v>
      </c>
      <c r="L166" s="266" t="s">
        <v>2975</v>
      </c>
      <c r="M166" s="267" t="s">
        <v>100</v>
      </c>
      <c r="N166" s="267" t="str">
        <f>VLOOKUP(B166,'HECVAT - Full | Vendor Response'!A:E,3,FALSE)</f>
        <v>Yes</v>
      </c>
      <c r="O166" s="267" t="str">
        <f>IF(LEN(VLOOKUP(B166,'Analyst Report'!$A:$I,7,FALSE))= 0,"",VLOOKUP(B166,'Analyst Report'!$A:$I,7,FALSE))</f>
        <v/>
      </c>
      <c r="P166" s="267">
        <f t="shared" si="13"/>
        <v>0</v>
      </c>
      <c r="Q166" s="267">
        <v>20</v>
      </c>
      <c r="R166" s="267">
        <f>IF(LEN(VLOOKUP(B166,'Analyst Report'!$A$31:$I$288,9,FALSE))=0,VLOOKUP(B166,'Analyst Report'!$A$31:$I$288,8,FALSE),VLOOKUP(B166,'Analyst Report'!$A$31:$I$288,9,FALSE))</f>
        <v>20</v>
      </c>
      <c r="S166" s="267">
        <f t="shared" si="17"/>
        <v>20</v>
      </c>
      <c r="T166" s="267">
        <f t="shared" si="14"/>
        <v>0</v>
      </c>
      <c r="U166" s="164" t="s">
        <v>115</v>
      </c>
      <c r="V166" s="164" t="s">
        <v>115</v>
      </c>
      <c r="W166" s="164" t="s">
        <v>115</v>
      </c>
      <c r="X166" s="164" t="s">
        <v>115</v>
      </c>
      <c r="Y166" s="164" t="s">
        <v>115</v>
      </c>
      <c r="Z166" s="164" t="s">
        <v>115</v>
      </c>
      <c r="AA166" s="164" t="s">
        <v>115</v>
      </c>
      <c r="AB166" s="164" t="s">
        <v>115</v>
      </c>
    </row>
    <row r="167" spans="1:28" ht="135">
      <c r="A167" s="169">
        <f t="shared" si="16"/>
        <v>150</v>
      </c>
      <c r="B167" s="176" t="s">
        <v>372</v>
      </c>
      <c r="C167" s="170" t="s">
        <v>2988</v>
      </c>
      <c r="D167" s="170" t="str">
        <f>VLOOKUP(B167,'HECVAT - Full | Vendor Response'!A$4:D$320,4,TRUE)</f>
        <v>Weave uses AWS with multiple availability zones</v>
      </c>
      <c r="E167" s="265" t="s">
        <v>115</v>
      </c>
      <c r="F167" s="265" t="s">
        <v>2989</v>
      </c>
      <c r="G167" s="265" t="s">
        <v>2990</v>
      </c>
      <c r="H167" s="175" t="s">
        <v>2991</v>
      </c>
      <c r="I167" s="175" t="s">
        <v>2992</v>
      </c>
      <c r="J167" s="266" t="str">
        <f t="shared" si="15"/>
        <v>FALSE</v>
      </c>
      <c r="K167" s="173">
        <f t="shared" si="18"/>
        <v>1</v>
      </c>
      <c r="L167" s="266" t="s">
        <v>2975</v>
      </c>
      <c r="M167" s="267" t="s">
        <v>102</v>
      </c>
      <c r="N167" s="267" t="str">
        <f>VLOOKUP(B167,'HECVAT - Full | Vendor Response'!A:E,3,FALSE)</f>
        <v>Yes</v>
      </c>
      <c r="O167" s="267" t="str">
        <f>IF(LEN(VLOOKUP(B167,'Analyst Report'!$A:$I,7,FALSE))= 0,"",VLOOKUP(B167,'Analyst Report'!$A:$I,7,FALSE))</f>
        <v/>
      </c>
      <c r="P167" s="267">
        <f t="shared" si="13"/>
        <v>1</v>
      </c>
      <c r="Q167" s="267">
        <v>20</v>
      </c>
      <c r="R167" s="267">
        <f>IF(LEN(VLOOKUP(B167,'Analyst Report'!$A$31:$I$288,9,FALSE))=0,VLOOKUP(B167,'Analyst Report'!$A$31:$I$288,8,FALSE),VLOOKUP(B167,'Analyst Report'!$A$31:$I$288,9,FALSE))</f>
        <v>20</v>
      </c>
      <c r="S167" s="267">
        <f t="shared" si="17"/>
        <v>20</v>
      </c>
      <c r="T167" s="267">
        <f t="shared" si="14"/>
        <v>20</v>
      </c>
      <c r="U167" s="164" t="s">
        <v>115</v>
      </c>
      <c r="V167" s="164" t="s">
        <v>115</v>
      </c>
      <c r="W167" s="164" t="s">
        <v>115</v>
      </c>
      <c r="X167" s="164" t="s">
        <v>115</v>
      </c>
      <c r="Y167" s="164" t="s">
        <v>115</v>
      </c>
      <c r="Z167" s="164" t="s">
        <v>115</v>
      </c>
      <c r="AA167" s="164" t="s">
        <v>115</v>
      </c>
      <c r="AB167" s="164" t="s">
        <v>115</v>
      </c>
    </row>
    <row r="168" spans="1:28" ht="135">
      <c r="A168" s="169">
        <f t="shared" si="16"/>
        <v>151</v>
      </c>
      <c r="B168" s="176" t="s">
        <v>373</v>
      </c>
      <c r="C168" s="170" t="s">
        <v>2993</v>
      </c>
      <c r="D168" s="170" t="str">
        <f>VLOOKUP(B168,'HECVAT - Full | Vendor Response'!A$4:D$320,4,TRUE)</f>
        <v>Weave conducts annual tabletop testing for backups in a new availability zone.</v>
      </c>
      <c r="E168" s="265" t="s">
        <v>115</v>
      </c>
      <c r="F168" s="265" t="s">
        <v>2994</v>
      </c>
      <c r="G168" s="265" t="s">
        <v>2995</v>
      </c>
      <c r="H168" s="175" t="s">
        <v>2996</v>
      </c>
      <c r="I168" s="175" t="s">
        <v>2997</v>
      </c>
      <c r="J168" s="266" t="str">
        <f t="shared" si="15"/>
        <v>FALSE</v>
      </c>
      <c r="K168" s="173">
        <f t="shared" si="18"/>
        <v>1</v>
      </c>
      <c r="L168" s="266" t="s">
        <v>2975</v>
      </c>
      <c r="M168" s="267" t="s">
        <v>102</v>
      </c>
      <c r="N168" s="267" t="str">
        <f>VLOOKUP(B168,'HECVAT - Full | Vendor Response'!A:E,3,FALSE)</f>
        <v>Yes</v>
      </c>
      <c r="O168" s="267" t="str">
        <f>IF(LEN(VLOOKUP(B168,'Analyst Report'!$A:$I,7,FALSE))= 0,"",VLOOKUP(B168,'Analyst Report'!$A:$I,7,FALSE))</f>
        <v/>
      </c>
      <c r="P168" s="267">
        <f t="shared" si="13"/>
        <v>1</v>
      </c>
      <c r="Q168" s="267">
        <v>20</v>
      </c>
      <c r="R168" s="267">
        <f>IF(LEN(VLOOKUP(B168,'Analyst Report'!$A$31:$I$288,9,FALSE))=0,VLOOKUP(B168,'Analyst Report'!$A$31:$I$288,8,FALSE),VLOOKUP(B168,'Analyst Report'!$A$31:$I$288,9,FALSE))</f>
        <v>20</v>
      </c>
      <c r="S168" s="267">
        <f t="shared" si="17"/>
        <v>20</v>
      </c>
      <c r="T168" s="267">
        <f t="shared" si="14"/>
        <v>20</v>
      </c>
      <c r="U168" s="164" t="s">
        <v>115</v>
      </c>
      <c r="V168" s="164" t="s">
        <v>115</v>
      </c>
      <c r="W168" s="164" t="s">
        <v>115</v>
      </c>
      <c r="X168" s="164" t="s">
        <v>115</v>
      </c>
      <c r="Y168" s="164" t="s">
        <v>115</v>
      </c>
      <c r="Z168" s="164" t="s">
        <v>115</v>
      </c>
      <c r="AA168" s="164" t="s">
        <v>115</v>
      </c>
      <c r="AB168" s="164" t="s">
        <v>115</v>
      </c>
    </row>
    <row r="169" spans="1:28" ht="120">
      <c r="A169" s="169">
        <f t="shared" si="16"/>
        <v>152</v>
      </c>
      <c r="B169" s="176" t="s">
        <v>375</v>
      </c>
      <c r="C169" s="170" t="s">
        <v>2998</v>
      </c>
      <c r="D169" s="170" t="str">
        <f>VLOOKUP(B169,'HECVAT - Full | Vendor Response'!A$4:D$320,4,TRUE)</f>
        <v xml:space="preserve">If any Contingency Plan Team member identifies an activity or issue that requires escalation to get prompt action, the Contingency Plan Team member escalates directly to both the Contingency Plan Manager and the Contingency Plan Director. </v>
      </c>
      <c r="E169" s="265" t="s">
        <v>115</v>
      </c>
      <c r="F169" s="265" t="s">
        <v>2999</v>
      </c>
      <c r="G169" s="265" t="s">
        <v>3000</v>
      </c>
      <c r="H169" s="175" t="s">
        <v>2689</v>
      </c>
      <c r="I169" s="175" t="s">
        <v>2690</v>
      </c>
      <c r="J169" s="266" t="str">
        <f t="shared" si="15"/>
        <v>FALSE</v>
      </c>
      <c r="K169" s="173">
        <f t="shared" si="18"/>
        <v>1</v>
      </c>
      <c r="L169" s="266" t="s">
        <v>2975</v>
      </c>
      <c r="M169" s="267" t="s">
        <v>102</v>
      </c>
      <c r="N169" s="267" t="str">
        <f>VLOOKUP(B169,'HECVAT - Full | Vendor Response'!A:E,3,FALSE)</f>
        <v>Yes</v>
      </c>
      <c r="O169" s="267" t="str">
        <f>IF(LEN(VLOOKUP(B169,'Analyst Report'!$A:$I,7,FALSE))= 0,"",VLOOKUP(B169,'Analyst Report'!$A:$I,7,FALSE))</f>
        <v/>
      </c>
      <c r="P169" s="267">
        <f t="shared" si="13"/>
        <v>1</v>
      </c>
      <c r="Q169" s="267">
        <v>20</v>
      </c>
      <c r="R169" s="267">
        <f>IF(LEN(VLOOKUP(B169,'Analyst Report'!$A$31:$I$288,9,FALSE))=0,VLOOKUP(B169,'Analyst Report'!$A$31:$I$288,8,FALSE),VLOOKUP(B169,'Analyst Report'!$A$31:$I$288,9,FALSE))</f>
        <v>20</v>
      </c>
      <c r="S169" s="267">
        <f t="shared" si="17"/>
        <v>20</v>
      </c>
      <c r="T169" s="267">
        <f t="shared" si="14"/>
        <v>20</v>
      </c>
      <c r="U169" s="164" t="s">
        <v>115</v>
      </c>
      <c r="V169" s="164" t="s">
        <v>115</v>
      </c>
      <c r="W169" s="164" t="s">
        <v>115</v>
      </c>
      <c r="X169" s="164" t="s">
        <v>115</v>
      </c>
      <c r="Y169" s="164" t="s">
        <v>115</v>
      </c>
      <c r="Z169" s="164" t="s">
        <v>115</v>
      </c>
      <c r="AA169" s="164" t="s">
        <v>115</v>
      </c>
      <c r="AB169" s="164" t="s">
        <v>115</v>
      </c>
    </row>
    <row r="170" spans="1:28" ht="120">
      <c r="A170" s="169">
        <f t="shared" si="16"/>
        <v>153</v>
      </c>
      <c r="B170" s="176" t="s">
        <v>377</v>
      </c>
      <c r="C170" s="170" t="s">
        <v>3001</v>
      </c>
      <c r="D170" s="170" t="str">
        <f>VLOOKUP(B170,'HECVAT - Full | Vendor Response'!A$4:D$320,4,TRUE)</f>
        <v xml:space="preserve">Based on potential widespread impact to customers during a Weave Platform outage or disruption, the Contingency Plan Director determines the best approach for communicating status awareness to customers and users.  Weave Education may use a combination of the following notification methods: 
The Helpdesk responds to individual customers based on tickets opened by those customers. 
The Member Success Team proactively communicates with all potentially impacted customers via email or phone. 
The Weave Education marketing website (www.weaveeducation.com) is updated to provide a status update to customers. </v>
      </c>
      <c r="E170" s="265" t="s">
        <v>115</v>
      </c>
      <c r="F170" s="265" t="s">
        <v>3002</v>
      </c>
      <c r="G170" s="265" t="s">
        <v>3003</v>
      </c>
      <c r="H170" s="175" t="s">
        <v>2689</v>
      </c>
      <c r="I170" s="175" t="s">
        <v>2690</v>
      </c>
      <c r="J170" s="266" t="str">
        <f t="shared" si="15"/>
        <v>FALSE</v>
      </c>
      <c r="K170" s="173">
        <f t="shared" si="18"/>
        <v>1</v>
      </c>
      <c r="L170" s="266" t="s">
        <v>2975</v>
      </c>
      <c r="M170" s="267" t="s">
        <v>102</v>
      </c>
      <c r="N170" s="267" t="str">
        <f>VLOOKUP(B170,'HECVAT - Full | Vendor Response'!A:E,3,FALSE)</f>
        <v>Yes</v>
      </c>
      <c r="O170" s="267" t="str">
        <f>IF(LEN(VLOOKUP(B170,'Analyst Report'!$A:$I,7,FALSE))= 0,"",VLOOKUP(B170,'Analyst Report'!$A:$I,7,FALSE))</f>
        <v/>
      </c>
      <c r="P170" s="267">
        <f t="shared" si="13"/>
        <v>1</v>
      </c>
      <c r="Q170" s="267">
        <v>20</v>
      </c>
      <c r="R170" s="267">
        <f>IF(LEN(VLOOKUP(B170,'Analyst Report'!$A$31:$I$288,9,FALSE))=0,VLOOKUP(B170,'Analyst Report'!$A$31:$I$288,8,FALSE),VLOOKUP(B170,'Analyst Report'!$A$31:$I$288,9,FALSE))</f>
        <v>20</v>
      </c>
      <c r="S170" s="267">
        <f t="shared" si="17"/>
        <v>20</v>
      </c>
      <c r="T170" s="267">
        <f t="shared" si="14"/>
        <v>20</v>
      </c>
      <c r="U170" s="164" t="s">
        <v>115</v>
      </c>
      <c r="V170" s="164" t="s">
        <v>115</v>
      </c>
      <c r="W170" s="164" t="s">
        <v>115</v>
      </c>
      <c r="X170" s="164" t="s">
        <v>115</v>
      </c>
      <c r="Y170" s="164" t="s">
        <v>115</v>
      </c>
      <c r="Z170" s="164" t="s">
        <v>115</v>
      </c>
      <c r="AA170" s="164" t="s">
        <v>115</v>
      </c>
      <c r="AB170" s="164" t="s">
        <v>115</v>
      </c>
    </row>
    <row r="171" spans="1:28" ht="135">
      <c r="A171" s="169">
        <f t="shared" si="16"/>
        <v>154</v>
      </c>
      <c r="B171" s="176" t="s">
        <v>378</v>
      </c>
      <c r="C171" s="170" t="s">
        <v>3004</v>
      </c>
      <c r="D171" s="170">
        <f>VLOOKUP(B171,'HECVAT - Full | Vendor Response'!A$4:D$320,4,TRUE)</f>
        <v>0</v>
      </c>
      <c r="E171" s="265" t="s">
        <v>3005</v>
      </c>
      <c r="F171" s="265"/>
      <c r="G171" s="265"/>
      <c r="H171" s="175" t="s">
        <v>3006</v>
      </c>
      <c r="I171" s="175" t="s">
        <v>2997</v>
      </c>
      <c r="J171" s="266" t="str">
        <f t="shared" si="15"/>
        <v>FALSE</v>
      </c>
      <c r="K171" s="173">
        <f t="shared" si="18"/>
        <v>1</v>
      </c>
      <c r="L171" s="266" t="s">
        <v>2975</v>
      </c>
      <c r="M171" s="267" t="s">
        <v>102</v>
      </c>
      <c r="N171" s="267" t="str">
        <f>VLOOKUP(B171,'HECVAT - Full | Vendor Response'!A:E,3,FALSE)</f>
        <v>Weave's disaster recovery plan and contingency plans are tested annualy via tabletop exercise.</v>
      </c>
      <c r="O171" s="267" t="str">
        <f>IF(LEN(VLOOKUP(B171,'Analyst Report'!$A:$I,7,FALSE))= 0,"",VLOOKUP(B171,'Analyst Report'!$A:$I,7,FALSE))</f>
        <v/>
      </c>
      <c r="P171" s="267">
        <f t="shared" si="13"/>
        <v>0</v>
      </c>
      <c r="Q171" s="267">
        <v>20</v>
      </c>
      <c r="R171" s="267">
        <f>IF(LEN(VLOOKUP(B171,'Analyst Report'!$A$31:$I$288,9,FALSE))=0,VLOOKUP(B171,'Analyst Report'!$A$31:$I$288,8,FALSE),VLOOKUP(B171,'Analyst Report'!$A$31:$I$288,9,FALSE))</f>
        <v>20</v>
      </c>
      <c r="S171" s="267">
        <f t="shared" si="17"/>
        <v>20</v>
      </c>
      <c r="T171" s="267">
        <f t="shared" si="14"/>
        <v>0</v>
      </c>
      <c r="U171" s="164" t="s">
        <v>115</v>
      </c>
      <c r="V171" s="164" t="s">
        <v>115</v>
      </c>
      <c r="W171" s="164" t="s">
        <v>115</v>
      </c>
      <c r="X171" s="164" t="s">
        <v>115</v>
      </c>
      <c r="Y171" s="164" t="s">
        <v>115</v>
      </c>
      <c r="Z171" s="164" t="s">
        <v>115</v>
      </c>
      <c r="AA171" s="164" t="s">
        <v>115</v>
      </c>
      <c r="AB171" s="164" t="s">
        <v>115</v>
      </c>
    </row>
    <row r="172" spans="1:28" ht="135">
      <c r="A172" s="169">
        <f t="shared" si="16"/>
        <v>155</v>
      </c>
      <c r="B172" s="176" t="s">
        <v>380</v>
      </c>
      <c r="C172" s="170" t="s">
        <v>3007</v>
      </c>
      <c r="D172" s="170" t="str">
        <f>VLOOKUP(B172,'HECVAT - Full | Vendor Response'!A$4:D$320,4,TRUE)</f>
        <v>Estimated recovery time is 8 hours</v>
      </c>
      <c r="E172" s="265" t="s">
        <v>115</v>
      </c>
      <c r="F172" s="265" t="s">
        <v>3008</v>
      </c>
      <c r="G172" s="265" t="s">
        <v>3009</v>
      </c>
      <c r="H172" s="175" t="s">
        <v>2996</v>
      </c>
      <c r="I172" s="175" t="s">
        <v>2997</v>
      </c>
      <c r="J172" s="266" t="str">
        <f t="shared" si="15"/>
        <v>TRUE</v>
      </c>
      <c r="K172" s="173">
        <f t="shared" si="18"/>
        <v>1</v>
      </c>
      <c r="L172" s="266" t="s">
        <v>2975</v>
      </c>
      <c r="M172" s="267" t="s">
        <v>102</v>
      </c>
      <c r="N172" s="267" t="str">
        <f>VLOOKUP(B172,'HECVAT - Full | Vendor Response'!A:E,3,FALSE)</f>
        <v>Yes</v>
      </c>
      <c r="O172" s="267" t="str">
        <f>IF(LEN(VLOOKUP(B172,'Analyst Report'!$A:$I,7,FALSE))= 0,"",VLOOKUP(B172,'Analyst Report'!$A:$I,7,FALSE))</f>
        <v/>
      </c>
      <c r="P172" s="267">
        <f t="shared" si="13"/>
        <v>1</v>
      </c>
      <c r="Q172" s="267">
        <v>25</v>
      </c>
      <c r="R172" s="267">
        <f>IF(LEN(VLOOKUP(B172,'Analyst Report'!$A$31:$I$288,9,FALSE))=0,VLOOKUP(B172,'Analyst Report'!$A$31:$I$288,8,FALSE),VLOOKUP(B172,'Analyst Report'!$A$31:$I$288,9,FALSE))</f>
        <v>25</v>
      </c>
      <c r="S172" s="267">
        <f t="shared" si="17"/>
        <v>25</v>
      </c>
      <c r="T172" s="267">
        <f t="shared" si="14"/>
        <v>25</v>
      </c>
      <c r="U172" s="164" t="s">
        <v>115</v>
      </c>
      <c r="V172" s="164" t="s">
        <v>115</v>
      </c>
      <c r="W172" s="164" t="s">
        <v>115</v>
      </c>
      <c r="X172" s="164" t="s">
        <v>115</v>
      </c>
      <c r="Y172" s="164" t="s">
        <v>115</v>
      </c>
      <c r="Z172" s="164" t="s">
        <v>115</v>
      </c>
      <c r="AA172" s="164" t="s">
        <v>115</v>
      </c>
      <c r="AB172" s="164" t="s">
        <v>115</v>
      </c>
    </row>
    <row r="173" spans="1:28" ht="135">
      <c r="A173" s="169">
        <f t="shared" si="16"/>
        <v>156</v>
      </c>
      <c r="B173" s="176" t="s">
        <v>382</v>
      </c>
      <c r="C173" s="170" t="s">
        <v>3010</v>
      </c>
      <c r="D173" s="170" t="str">
        <f>VLOOKUP(B173,'HECVAT - Full | Vendor Response'!A$4:D$320,4,TRUE)</f>
        <v>The security manager is responsible for the maintenance and review of the DRP in collaboration with the System Owner.</v>
      </c>
      <c r="E173" s="265" t="s">
        <v>115</v>
      </c>
      <c r="F173" s="265" t="s">
        <v>3011</v>
      </c>
      <c r="G173" s="265" t="s">
        <v>3012</v>
      </c>
      <c r="H173" s="175" t="s">
        <v>2996</v>
      </c>
      <c r="I173" s="175" t="s">
        <v>2997</v>
      </c>
      <c r="J173" s="266" t="str">
        <f t="shared" si="15"/>
        <v>TRUE</v>
      </c>
      <c r="K173" s="173">
        <f t="shared" si="18"/>
        <v>1</v>
      </c>
      <c r="L173" s="266" t="s">
        <v>2975</v>
      </c>
      <c r="M173" s="267" t="s">
        <v>102</v>
      </c>
      <c r="N173" s="267" t="str">
        <f>VLOOKUP(B173,'HECVAT - Full | Vendor Response'!A:E,3,FALSE)</f>
        <v>Yes</v>
      </c>
      <c r="O173" s="267" t="str">
        <f>IF(LEN(VLOOKUP(B173,'Analyst Report'!$A:$I,7,FALSE))= 0,"",VLOOKUP(B173,'Analyst Report'!$A:$I,7,FALSE))</f>
        <v/>
      </c>
      <c r="P173" s="267">
        <f t="shared" si="13"/>
        <v>1</v>
      </c>
      <c r="Q173" s="267">
        <v>25</v>
      </c>
      <c r="R173" s="267">
        <f>IF(LEN(VLOOKUP(B173,'Analyst Report'!$A$31:$I$288,9,FALSE))=0,VLOOKUP(B173,'Analyst Report'!$A$31:$I$288,8,FALSE),VLOOKUP(B173,'Analyst Report'!$A$31:$I$288,9,FALSE))</f>
        <v>25</v>
      </c>
      <c r="S173" s="267">
        <f t="shared" si="17"/>
        <v>25</v>
      </c>
      <c r="T173" s="267">
        <f t="shared" si="14"/>
        <v>25</v>
      </c>
      <c r="U173" s="164" t="s">
        <v>115</v>
      </c>
      <c r="V173" s="164" t="s">
        <v>115</v>
      </c>
      <c r="W173" s="164" t="s">
        <v>115</v>
      </c>
      <c r="X173" s="164" t="s">
        <v>115</v>
      </c>
      <c r="Y173" s="164" t="s">
        <v>115</v>
      </c>
      <c r="Z173" s="164" t="s">
        <v>115</v>
      </c>
      <c r="AA173" s="164" t="s">
        <v>115</v>
      </c>
      <c r="AB173" s="164" t="s">
        <v>115</v>
      </c>
    </row>
    <row r="174" spans="1:28" ht="210">
      <c r="A174" s="169">
        <f t="shared" si="16"/>
        <v>157</v>
      </c>
      <c r="B174" s="176" t="s">
        <v>384</v>
      </c>
      <c r="C174" s="176" t="s">
        <v>3013</v>
      </c>
      <c r="D174" s="170" t="str">
        <f>VLOOKUP(B174,'HECVAT - Full | Vendor Response'!A$4:D$320,4,TRUE)</f>
        <v>Weave utilizes AWS Web Application Firewall</v>
      </c>
      <c r="E174" s="187" t="s">
        <v>115</v>
      </c>
      <c r="F174" s="187" t="s">
        <v>3014</v>
      </c>
      <c r="G174" s="187" t="s">
        <v>3015</v>
      </c>
      <c r="H174" s="181" t="s">
        <v>3016</v>
      </c>
      <c r="I174" s="181" t="s">
        <v>3017</v>
      </c>
      <c r="J174" s="266" t="str">
        <f t="shared" si="15"/>
        <v>TRUE</v>
      </c>
      <c r="K174" s="166">
        <v>1</v>
      </c>
      <c r="L174" s="167" t="s">
        <v>383</v>
      </c>
      <c r="M174" s="168" t="s">
        <v>102</v>
      </c>
      <c r="N174" s="267" t="str">
        <f>VLOOKUP(B174,'HECVAT - Full | Vendor Response'!A:E,3,FALSE)</f>
        <v>Yes</v>
      </c>
      <c r="O174" s="267" t="str">
        <f>IF(LEN(VLOOKUP(B174,'Analyst Report'!$A:$I,7,FALSE))= 0,"",VLOOKUP(B174,'Analyst Report'!$A:$I,7,FALSE))</f>
        <v/>
      </c>
      <c r="P174" s="267">
        <f t="shared" si="13"/>
        <v>1</v>
      </c>
      <c r="Q174" s="189">
        <v>25</v>
      </c>
      <c r="R174" s="267">
        <f>IF(LEN(VLOOKUP(B174,'Analyst Report'!$A$31:$I$288,9,FALSE))=0,VLOOKUP(B174,'Analyst Report'!$A$31:$I$288,8,FALSE),VLOOKUP(B174,'Analyst Report'!$A$31:$I$288,9,FALSE))</f>
        <v>25</v>
      </c>
      <c r="S174" s="267">
        <f t="shared" si="17"/>
        <v>25</v>
      </c>
      <c r="T174" s="267">
        <f t="shared" si="14"/>
        <v>25</v>
      </c>
      <c r="U174" s="164" t="s">
        <v>115</v>
      </c>
      <c r="V174" s="164" t="s">
        <v>115</v>
      </c>
      <c r="W174" s="164" t="s">
        <v>115</v>
      </c>
      <c r="X174" s="164" t="s">
        <v>115</v>
      </c>
      <c r="Y174" s="164" t="s">
        <v>115</v>
      </c>
      <c r="Z174" s="164" t="s">
        <v>115</v>
      </c>
      <c r="AA174" s="164" t="s">
        <v>115</v>
      </c>
      <c r="AB174" s="164" t="s">
        <v>115</v>
      </c>
    </row>
    <row r="175" spans="1:28" ht="135">
      <c r="A175" s="169">
        <f t="shared" si="16"/>
        <v>158</v>
      </c>
      <c r="B175" s="176" t="s">
        <v>386</v>
      </c>
      <c r="C175" s="176" t="s">
        <v>3018</v>
      </c>
      <c r="D175" s="170" t="str">
        <f>VLOOKUP(B175,'HECVAT - Full | Vendor Response'!A$4:D$320,4,TRUE)</f>
        <v>Security Manager and System Administrator approval are required for any firewall changes.</v>
      </c>
      <c r="E175" s="187" t="s">
        <v>115</v>
      </c>
      <c r="F175" s="187" t="s">
        <v>3019</v>
      </c>
      <c r="G175" s="187" t="s">
        <v>3020</v>
      </c>
      <c r="H175" s="181" t="s">
        <v>3021</v>
      </c>
      <c r="I175" s="181" t="s">
        <v>3022</v>
      </c>
      <c r="J175" s="266" t="str">
        <f t="shared" si="15"/>
        <v>FALSE</v>
      </c>
      <c r="K175" s="166">
        <v>1</v>
      </c>
      <c r="L175" s="167" t="s">
        <v>383</v>
      </c>
      <c r="M175" s="168" t="s">
        <v>102</v>
      </c>
      <c r="N175" s="267" t="str">
        <f>VLOOKUP(B175,'HECVAT - Full | Vendor Response'!A:E,3,FALSE)</f>
        <v>Yes</v>
      </c>
      <c r="O175" s="267" t="str">
        <f>IF(LEN(VLOOKUP(B175,'Analyst Report'!$A:$I,7,FALSE))= 0,"",VLOOKUP(B175,'Analyst Report'!$A:$I,7,FALSE))</f>
        <v/>
      </c>
      <c r="P175" s="267">
        <f t="shared" si="13"/>
        <v>1</v>
      </c>
      <c r="Q175" s="189">
        <v>20</v>
      </c>
      <c r="R175" s="267">
        <f>IF(LEN(VLOOKUP(B175,'Analyst Report'!$A$31:$I$288,9,FALSE))=0,VLOOKUP(B175,'Analyst Report'!$A$31:$I$288,8,FALSE),VLOOKUP(B175,'Analyst Report'!$A$31:$I$288,9,FALSE))</f>
        <v>20</v>
      </c>
      <c r="S175" s="267">
        <f t="shared" si="17"/>
        <v>20</v>
      </c>
      <c r="T175" s="267">
        <f t="shared" si="14"/>
        <v>20</v>
      </c>
      <c r="U175" s="164" t="s">
        <v>115</v>
      </c>
      <c r="V175" s="164" t="s">
        <v>115</v>
      </c>
      <c r="W175" s="164" t="s">
        <v>115</v>
      </c>
      <c r="X175" s="164" t="s">
        <v>115</v>
      </c>
      <c r="Y175" s="164" t="s">
        <v>115</v>
      </c>
      <c r="Z175" s="164" t="s">
        <v>115</v>
      </c>
      <c r="AA175" s="164" t="s">
        <v>115</v>
      </c>
      <c r="AB175" s="164" t="s">
        <v>115</v>
      </c>
    </row>
    <row r="176" spans="1:28" ht="150">
      <c r="A176" s="169">
        <f t="shared" si="16"/>
        <v>159</v>
      </c>
      <c r="B176" s="176" t="s">
        <v>388</v>
      </c>
      <c r="C176" s="176" t="s">
        <v>3023</v>
      </c>
      <c r="D176" s="170" t="str">
        <f>VLOOKUP(B176,'HECVAT - Full | Vendor Response'!A$4:D$320,4,TRUE)</f>
        <v>Weave's configuration management plan includes full approval for any changes including a security review prior to release.</v>
      </c>
      <c r="E176" s="187" t="s">
        <v>115</v>
      </c>
      <c r="F176" s="187" t="s">
        <v>3024</v>
      </c>
      <c r="G176" s="187" t="s">
        <v>3025</v>
      </c>
      <c r="H176" s="181" t="s">
        <v>3026</v>
      </c>
      <c r="I176" s="181" t="s">
        <v>3027</v>
      </c>
      <c r="J176" s="266" t="str">
        <f t="shared" si="15"/>
        <v>TRUE</v>
      </c>
      <c r="K176" s="166">
        <v>1</v>
      </c>
      <c r="L176" s="167" t="s">
        <v>383</v>
      </c>
      <c r="M176" s="168" t="s">
        <v>102</v>
      </c>
      <c r="N176" s="267" t="str">
        <f>VLOOKUP(B176,'HECVAT - Full | Vendor Response'!A:E,3,FALSE)</f>
        <v>Yes</v>
      </c>
      <c r="O176" s="267" t="str">
        <f>IF(LEN(VLOOKUP(B176,'Analyst Report'!$A:$I,7,FALSE))= 0,"",VLOOKUP(B176,'Analyst Report'!$A:$I,7,FALSE))</f>
        <v/>
      </c>
      <c r="P176" s="267">
        <f t="shared" si="13"/>
        <v>1</v>
      </c>
      <c r="Q176" s="189">
        <v>25</v>
      </c>
      <c r="R176" s="267">
        <f>IF(LEN(VLOOKUP(B176,'Analyst Report'!$A$31:$I$288,9,FALSE))=0,VLOOKUP(B176,'Analyst Report'!$A$31:$I$288,8,FALSE),VLOOKUP(B176,'Analyst Report'!$A$31:$I$288,9,FALSE))</f>
        <v>25</v>
      </c>
      <c r="S176" s="267">
        <f t="shared" si="17"/>
        <v>25</v>
      </c>
      <c r="T176" s="267">
        <f t="shared" si="14"/>
        <v>25</v>
      </c>
      <c r="U176" s="164" t="s">
        <v>115</v>
      </c>
      <c r="V176" s="164" t="s">
        <v>115</v>
      </c>
      <c r="W176" s="164" t="s">
        <v>115</v>
      </c>
      <c r="X176" s="164" t="s">
        <v>115</v>
      </c>
      <c r="Y176" s="164" t="s">
        <v>115</v>
      </c>
      <c r="Z176" s="164" t="s">
        <v>115</v>
      </c>
      <c r="AA176" s="164" t="s">
        <v>115</v>
      </c>
      <c r="AB176" s="164" t="s">
        <v>115</v>
      </c>
    </row>
    <row r="177" spans="1:28" ht="195">
      <c r="A177" s="169">
        <f t="shared" si="16"/>
        <v>160</v>
      </c>
      <c r="B177" s="176" t="s">
        <v>390</v>
      </c>
      <c r="C177" s="176" t="s">
        <v>3028</v>
      </c>
      <c r="D177" s="170" t="str">
        <f>VLOOKUP(B177,'HECVAT - Full | Vendor Response'!A$4:D$320,4,TRUE)</f>
        <v>Weave uses AWS Guard Duty as an IDS</v>
      </c>
      <c r="E177" s="187" t="s">
        <v>115</v>
      </c>
      <c r="F177" s="187" t="s">
        <v>3029</v>
      </c>
      <c r="G177" s="187" t="s">
        <v>3030</v>
      </c>
      <c r="H177" s="181" t="s">
        <v>3031</v>
      </c>
      <c r="I177" s="181" t="s">
        <v>3032</v>
      </c>
      <c r="J177" s="266" t="str">
        <f t="shared" si="15"/>
        <v>TRUE</v>
      </c>
      <c r="K177" s="166">
        <v>1</v>
      </c>
      <c r="L177" s="167" t="s">
        <v>383</v>
      </c>
      <c r="M177" s="168" t="s">
        <v>102</v>
      </c>
      <c r="N177" s="267" t="str">
        <f>VLOOKUP(B177,'HECVAT - Full | Vendor Response'!A:E,3,FALSE)</f>
        <v>Yes</v>
      </c>
      <c r="O177" s="267" t="str">
        <f>IF(LEN(VLOOKUP(B177,'Analyst Report'!$A:$I,7,FALSE))= 0,"",VLOOKUP(B177,'Analyst Report'!$A:$I,7,FALSE))</f>
        <v/>
      </c>
      <c r="P177" s="267">
        <f t="shared" si="13"/>
        <v>1</v>
      </c>
      <c r="Q177" s="189">
        <v>25</v>
      </c>
      <c r="R177" s="267">
        <f>IF(LEN(VLOOKUP(B177,'Analyst Report'!$A$31:$I$288,9,FALSE))=0,VLOOKUP(B177,'Analyst Report'!$A$31:$I$288,8,FALSE),VLOOKUP(B177,'Analyst Report'!$A$31:$I$288,9,FALSE))</f>
        <v>25</v>
      </c>
      <c r="S177" s="267">
        <f t="shared" si="17"/>
        <v>25</v>
      </c>
      <c r="T177" s="267">
        <f t="shared" si="14"/>
        <v>25</v>
      </c>
      <c r="U177" s="164" t="s">
        <v>115</v>
      </c>
      <c r="V177" s="164" t="s">
        <v>115</v>
      </c>
      <c r="W177" s="164" t="s">
        <v>115</v>
      </c>
      <c r="X177" s="164" t="s">
        <v>115</v>
      </c>
      <c r="Y177" s="164" t="s">
        <v>115</v>
      </c>
      <c r="Z177" s="164" t="s">
        <v>115</v>
      </c>
      <c r="AA177" s="164" t="s">
        <v>115</v>
      </c>
      <c r="AB177" s="164" t="s">
        <v>115</v>
      </c>
    </row>
    <row r="178" spans="1:28" ht="180">
      <c r="A178" s="169">
        <f t="shared" si="16"/>
        <v>161</v>
      </c>
      <c r="B178" s="176" t="s">
        <v>392</v>
      </c>
      <c r="C178" s="176" t="s">
        <v>3033</v>
      </c>
      <c r="D178" s="170" t="str">
        <f>VLOOKUP(B178,'HECVAT - Full | Vendor Response'!A$4:D$320,4,TRUE)</f>
        <v>Weave uses Windows Defender as an IPS</v>
      </c>
      <c r="E178" s="187" t="s">
        <v>115</v>
      </c>
      <c r="F178" s="187" t="s">
        <v>3034</v>
      </c>
      <c r="G178" s="187" t="s">
        <v>3035</v>
      </c>
      <c r="H178" s="181" t="s">
        <v>3036</v>
      </c>
      <c r="I178" s="181" t="s">
        <v>3037</v>
      </c>
      <c r="J178" s="266" t="str">
        <f t="shared" si="15"/>
        <v>FALSE</v>
      </c>
      <c r="K178" s="166">
        <v>1</v>
      </c>
      <c r="L178" s="167" t="s">
        <v>383</v>
      </c>
      <c r="M178" s="168" t="s">
        <v>102</v>
      </c>
      <c r="N178" s="267" t="str">
        <f>VLOOKUP(B178,'HECVAT - Full | Vendor Response'!A:E,3,FALSE)</f>
        <v>Yes</v>
      </c>
      <c r="O178" s="267" t="str">
        <f>IF(LEN(VLOOKUP(B178,'Analyst Report'!$A:$I,7,FALSE))= 0,"",VLOOKUP(B178,'Analyst Report'!$A:$I,7,FALSE))</f>
        <v/>
      </c>
      <c r="P178" s="267">
        <f t="shared" si="13"/>
        <v>1</v>
      </c>
      <c r="Q178" s="189">
        <v>20</v>
      </c>
      <c r="R178" s="267">
        <f>IF(LEN(VLOOKUP(B178,'Analyst Report'!$A$31:$I$288,9,FALSE))=0,VLOOKUP(B178,'Analyst Report'!$A$31:$I$288,8,FALSE),VLOOKUP(B178,'Analyst Report'!$A$31:$I$288,9,FALSE))</f>
        <v>20</v>
      </c>
      <c r="S178" s="267">
        <f t="shared" si="17"/>
        <v>20</v>
      </c>
      <c r="T178" s="267">
        <f t="shared" si="14"/>
        <v>20</v>
      </c>
      <c r="U178" s="164" t="s">
        <v>115</v>
      </c>
      <c r="V178" s="164" t="s">
        <v>115</v>
      </c>
      <c r="W178" s="164" t="s">
        <v>115</v>
      </c>
      <c r="X178" s="164" t="s">
        <v>115</v>
      </c>
      <c r="Y178" s="164" t="s">
        <v>115</v>
      </c>
      <c r="Z178" s="164" t="s">
        <v>115</v>
      </c>
      <c r="AA178" s="164" t="s">
        <v>115</v>
      </c>
      <c r="AB178" s="164" t="s">
        <v>115</v>
      </c>
    </row>
    <row r="179" spans="1:28" ht="165">
      <c r="A179" s="169">
        <f t="shared" si="16"/>
        <v>162</v>
      </c>
      <c r="B179" s="176" t="s">
        <v>394</v>
      </c>
      <c r="C179" s="176" t="s">
        <v>3038</v>
      </c>
      <c r="D179" s="170" t="str">
        <f>VLOOKUP(B179,'HECVAT - Full | Vendor Response'!A$4:D$320,4,TRUE)</f>
        <v>Weave uses AWS Guard Duty as an IDS</v>
      </c>
      <c r="E179" s="187" t="s">
        <v>115</v>
      </c>
      <c r="F179" s="187" t="s">
        <v>3039</v>
      </c>
      <c r="G179" s="187" t="s">
        <v>3040</v>
      </c>
      <c r="H179" s="181" t="s">
        <v>3031</v>
      </c>
      <c r="I179" s="181" t="s">
        <v>3041</v>
      </c>
      <c r="J179" s="266" t="str">
        <f t="shared" si="15"/>
        <v>TRUE</v>
      </c>
      <c r="K179" s="166">
        <v>1</v>
      </c>
      <c r="L179" s="167" t="s">
        <v>383</v>
      </c>
      <c r="M179" s="168" t="s">
        <v>102</v>
      </c>
      <c r="N179" s="267" t="str">
        <f>VLOOKUP(B179,'HECVAT - Full | Vendor Response'!A:E,3,FALSE)</f>
        <v>Yes</v>
      </c>
      <c r="O179" s="267" t="str">
        <f>IF(LEN(VLOOKUP(B179,'Analyst Report'!$A:$I,7,FALSE))= 0,"",VLOOKUP(B179,'Analyst Report'!$A:$I,7,FALSE))</f>
        <v/>
      </c>
      <c r="P179" s="267">
        <f t="shared" si="13"/>
        <v>1</v>
      </c>
      <c r="Q179" s="189">
        <v>25</v>
      </c>
      <c r="R179" s="267">
        <f>IF(LEN(VLOOKUP(B179,'Analyst Report'!$A$31:$I$288,9,FALSE))=0,VLOOKUP(B179,'Analyst Report'!$A$31:$I$288,8,FALSE),VLOOKUP(B179,'Analyst Report'!$A$31:$I$288,9,FALSE))</f>
        <v>25</v>
      </c>
      <c r="S179" s="267">
        <f t="shared" si="17"/>
        <v>25</v>
      </c>
      <c r="T179" s="267">
        <f t="shared" si="14"/>
        <v>25</v>
      </c>
      <c r="U179" s="164" t="s">
        <v>115</v>
      </c>
      <c r="V179" s="164" t="s">
        <v>115</v>
      </c>
      <c r="W179" s="164" t="s">
        <v>115</v>
      </c>
      <c r="X179" s="164" t="s">
        <v>115</v>
      </c>
      <c r="Y179" s="164" t="s">
        <v>115</v>
      </c>
      <c r="Z179" s="164" t="s">
        <v>115</v>
      </c>
      <c r="AA179" s="164" t="s">
        <v>115</v>
      </c>
      <c r="AB179" s="164" t="s">
        <v>115</v>
      </c>
    </row>
    <row r="180" spans="1:28" ht="165">
      <c r="A180" s="169">
        <f t="shared" si="16"/>
        <v>163</v>
      </c>
      <c r="B180" s="176" t="s">
        <v>395</v>
      </c>
      <c r="C180" s="176" t="s">
        <v>3042</v>
      </c>
      <c r="D180" s="170" t="str">
        <f>VLOOKUP(B180,'HECVAT - Full | Vendor Response'!A$4:D$320,4,TRUE)</f>
        <v>Weave uses Windows Defender as an IPS</v>
      </c>
      <c r="E180" s="187" t="s">
        <v>115</v>
      </c>
      <c r="F180" s="187" t="s">
        <v>3043</v>
      </c>
      <c r="G180" s="187" t="s">
        <v>3044</v>
      </c>
      <c r="H180" s="181" t="s">
        <v>3036</v>
      </c>
      <c r="I180" s="181" t="s">
        <v>3045</v>
      </c>
      <c r="J180" s="266" t="str">
        <f t="shared" si="15"/>
        <v>FALSE</v>
      </c>
      <c r="K180" s="166">
        <v>1</v>
      </c>
      <c r="L180" s="167" t="s">
        <v>383</v>
      </c>
      <c r="M180" s="168" t="s">
        <v>102</v>
      </c>
      <c r="N180" s="267" t="str">
        <f>VLOOKUP(B180,'HECVAT - Full | Vendor Response'!A:E,3,FALSE)</f>
        <v>Yes</v>
      </c>
      <c r="O180" s="267" t="str">
        <f>IF(LEN(VLOOKUP(B180,'Analyst Report'!$A:$I,7,FALSE))= 0,"",VLOOKUP(B180,'Analyst Report'!$A:$I,7,FALSE))</f>
        <v/>
      </c>
      <c r="P180" s="267">
        <f t="shared" si="13"/>
        <v>1</v>
      </c>
      <c r="Q180" s="189">
        <v>20</v>
      </c>
      <c r="R180" s="267">
        <f>IF(LEN(VLOOKUP(B180,'Analyst Report'!$A$31:$I$288,9,FALSE))=0,VLOOKUP(B180,'Analyst Report'!$A$31:$I$288,8,FALSE),VLOOKUP(B180,'Analyst Report'!$A$31:$I$288,9,FALSE))</f>
        <v>20</v>
      </c>
      <c r="S180" s="267">
        <f t="shared" si="17"/>
        <v>20</v>
      </c>
      <c r="T180" s="267">
        <f t="shared" si="14"/>
        <v>20</v>
      </c>
      <c r="U180" s="164" t="s">
        <v>115</v>
      </c>
      <c r="V180" s="164" t="s">
        <v>115</v>
      </c>
      <c r="W180" s="164" t="s">
        <v>115</v>
      </c>
      <c r="X180" s="164" t="s">
        <v>115</v>
      </c>
      <c r="Y180" s="164" t="s">
        <v>115</v>
      </c>
      <c r="Z180" s="164" t="s">
        <v>115</v>
      </c>
      <c r="AA180" s="164" t="s">
        <v>115</v>
      </c>
      <c r="AB180" s="164" t="s">
        <v>115</v>
      </c>
    </row>
    <row r="181" spans="1:28" ht="150">
      <c r="A181" s="169">
        <f t="shared" si="16"/>
        <v>164</v>
      </c>
      <c r="B181" s="176" t="s">
        <v>396</v>
      </c>
      <c r="C181" s="176" t="s">
        <v>3046</v>
      </c>
      <c r="D181" s="170" t="str">
        <f>VLOOKUP(B181,'HECVAT - Full | Vendor Response'!A$4:D$320,4,TRUE)</f>
        <v>Weave conducts continual monitoring and NGPT vulnerability scanning with AWS Inspector.</v>
      </c>
      <c r="E181" s="187" t="s">
        <v>115</v>
      </c>
      <c r="F181" s="187" t="s">
        <v>3047</v>
      </c>
      <c r="G181" s="187" t="s">
        <v>3048</v>
      </c>
      <c r="H181" s="181" t="s">
        <v>3049</v>
      </c>
      <c r="I181" s="181" t="s">
        <v>3050</v>
      </c>
      <c r="J181" s="266" t="str">
        <f t="shared" si="15"/>
        <v>FALSE</v>
      </c>
      <c r="K181" s="166">
        <v>1</v>
      </c>
      <c r="L181" s="167" t="s">
        <v>383</v>
      </c>
      <c r="M181" s="168" t="s">
        <v>102</v>
      </c>
      <c r="N181" s="267" t="str">
        <f>VLOOKUP(B181,'HECVAT - Full | Vendor Response'!A:E,3,FALSE)</f>
        <v>Yes</v>
      </c>
      <c r="O181" s="267" t="str">
        <f>IF(LEN(VLOOKUP(B181,'Analyst Report'!$A:$I,7,FALSE))= 0,"",VLOOKUP(B181,'Analyst Report'!$A:$I,7,FALSE))</f>
        <v/>
      </c>
      <c r="P181" s="267">
        <f t="shared" si="13"/>
        <v>1</v>
      </c>
      <c r="Q181" s="189">
        <v>20</v>
      </c>
      <c r="R181" s="267">
        <f>IF(LEN(VLOOKUP(B181,'Analyst Report'!$A$31:$I$288,9,FALSE))=0,VLOOKUP(B181,'Analyst Report'!$A$31:$I$288,8,FALSE),VLOOKUP(B181,'Analyst Report'!$A$31:$I$288,9,FALSE))</f>
        <v>20</v>
      </c>
      <c r="S181" s="267">
        <f t="shared" si="17"/>
        <v>20</v>
      </c>
      <c r="T181" s="267">
        <f t="shared" si="14"/>
        <v>20</v>
      </c>
      <c r="U181" s="164" t="s">
        <v>115</v>
      </c>
      <c r="V181" s="164" t="s">
        <v>115</v>
      </c>
      <c r="W181" s="164" t="s">
        <v>115</v>
      </c>
      <c r="X181" s="164" t="s">
        <v>115</v>
      </c>
      <c r="Y181" s="164" t="s">
        <v>115</v>
      </c>
      <c r="Z181" s="164" t="s">
        <v>115</v>
      </c>
      <c r="AA181" s="164" t="s">
        <v>115</v>
      </c>
      <c r="AB181" s="164" t="s">
        <v>115</v>
      </c>
    </row>
    <row r="182" spans="1:28" ht="165">
      <c r="A182" s="169">
        <f t="shared" si="16"/>
        <v>165</v>
      </c>
      <c r="B182" s="176" t="s">
        <v>398</v>
      </c>
      <c r="C182" s="176" t="s">
        <v>3051</v>
      </c>
      <c r="D182" s="170" t="str">
        <f>VLOOKUP(B182,'HECVAT - Full | Vendor Response'!A$4:D$320,4,TRUE)</f>
        <v xml:space="preserve">Weave uses continual scanning systems from AWS with immediate email alerts for anomalous behavior and supplements that with manual monitoring on a weekly basis. </v>
      </c>
      <c r="E182" s="187" t="s">
        <v>115</v>
      </c>
      <c r="F182" s="187" t="s">
        <v>3052</v>
      </c>
      <c r="G182" s="187" t="s">
        <v>3053</v>
      </c>
      <c r="H182" s="181" t="s">
        <v>3054</v>
      </c>
      <c r="I182" s="181" t="s">
        <v>3055</v>
      </c>
      <c r="J182" s="266" t="str">
        <f t="shared" si="15"/>
        <v>FALSE</v>
      </c>
      <c r="K182" s="166">
        <v>1</v>
      </c>
      <c r="L182" s="167" t="s">
        <v>383</v>
      </c>
      <c r="M182" s="168" t="s">
        <v>102</v>
      </c>
      <c r="N182" s="267" t="str">
        <f>VLOOKUP(B182,'HECVAT - Full | Vendor Response'!A:E,3,FALSE)</f>
        <v>Yes</v>
      </c>
      <c r="O182" s="267" t="str">
        <f>IF(LEN(VLOOKUP(B182,'Analyst Report'!$A:$I,7,FALSE))= 0,"",VLOOKUP(B182,'Analyst Report'!$A:$I,7,FALSE))</f>
        <v/>
      </c>
      <c r="P182" s="267">
        <f t="shared" si="13"/>
        <v>1</v>
      </c>
      <c r="Q182" s="189">
        <v>15</v>
      </c>
      <c r="R182" s="267">
        <f>IF(LEN(VLOOKUP(B182,'Analyst Report'!$A$31:$I$288,9,FALSE))=0,VLOOKUP(B182,'Analyst Report'!$A$31:$I$288,8,FALSE),VLOOKUP(B182,'Analyst Report'!$A$31:$I$288,9,FALSE))</f>
        <v>15</v>
      </c>
      <c r="S182" s="267">
        <f t="shared" si="17"/>
        <v>15</v>
      </c>
      <c r="T182" s="267">
        <f t="shared" si="14"/>
        <v>15</v>
      </c>
      <c r="U182" s="164" t="s">
        <v>115</v>
      </c>
      <c r="V182" s="164" t="s">
        <v>115</v>
      </c>
      <c r="W182" s="164" t="s">
        <v>115</v>
      </c>
      <c r="X182" s="164" t="s">
        <v>115</v>
      </c>
      <c r="Y182" s="164" t="s">
        <v>115</v>
      </c>
      <c r="Z182" s="164" t="s">
        <v>115</v>
      </c>
      <c r="AA182" s="164" t="s">
        <v>115</v>
      </c>
      <c r="AB182" s="164" t="s">
        <v>115</v>
      </c>
    </row>
    <row r="183" spans="1:28" ht="150">
      <c r="A183" s="169">
        <f t="shared" si="16"/>
        <v>166</v>
      </c>
      <c r="B183" s="176" t="s">
        <v>400</v>
      </c>
      <c r="C183" s="176" t="s">
        <v>3056</v>
      </c>
      <c r="D183" s="170" t="str">
        <f>VLOOKUP(B183,'HECVAT - Full | Vendor Response'!A$4:D$320,4,TRUE)</f>
        <v>Intrusion monitoring is performed both by AWS services and internally by the Weave security manager.</v>
      </c>
      <c r="E183" s="187" t="s">
        <v>3057</v>
      </c>
      <c r="F183" s="187"/>
      <c r="G183" s="187"/>
      <c r="H183" s="181" t="s">
        <v>3058</v>
      </c>
      <c r="I183" s="181" t="s">
        <v>3059</v>
      </c>
      <c r="J183" s="266" t="str">
        <f t="shared" si="15"/>
        <v>FALSE</v>
      </c>
      <c r="K183" s="166">
        <v>1</v>
      </c>
      <c r="L183" s="167" t="s">
        <v>383</v>
      </c>
      <c r="M183" s="168" t="s">
        <v>102</v>
      </c>
      <c r="N183" s="267" t="str">
        <f>VLOOKUP(B183,'HECVAT - Full | Vendor Response'!A:E,3,FALSE)</f>
        <v>Yes</v>
      </c>
      <c r="O183" s="267" t="str">
        <f>IF(LEN(VLOOKUP(B183,'Analyst Report'!$A:$I,7,FALSE))= 0,"",VLOOKUP(B183,'Analyst Report'!$A:$I,7,FALSE))</f>
        <v/>
      </c>
      <c r="P183" s="267">
        <f t="shared" si="13"/>
        <v>1</v>
      </c>
      <c r="Q183" s="189">
        <v>20</v>
      </c>
      <c r="R183" s="267">
        <f>IF(LEN(VLOOKUP(B183,'Analyst Report'!$A$31:$I$288,9,FALSE))=0,VLOOKUP(B183,'Analyst Report'!$A$31:$I$288,8,FALSE),VLOOKUP(B183,'Analyst Report'!$A$31:$I$288,9,FALSE))</f>
        <v>20</v>
      </c>
      <c r="S183" s="267">
        <f t="shared" si="17"/>
        <v>20</v>
      </c>
      <c r="T183" s="267">
        <f t="shared" si="14"/>
        <v>20</v>
      </c>
      <c r="U183" s="164" t="s">
        <v>115</v>
      </c>
      <c r="V183" s="164" t="s">
        <v>115</v>
      </c>
      <c r="W183" s="164" t="s">
        <v>115</v>
      </c>
      <c r="X183" s="164" t="s">
        <v>115</v>
      </c>
      <c r="Y183" s="164" t="s">
        <v>115</v>
      </c>
      <c r="Z183" s="164" t="s">
        <v>115</v>
      </c>
      <c r="AA183" s="164" t="s">
        <v>115</v>
      </c>
      <c r="AB183" s="164" t="s">
        <v>115</v>
      </c>
    </row>
    <row r="184" spans="1:28" ht="210">
      <c r="A184" s="169">
        <f t="shared" si="16"/>
        <v>167</v>
      </c>
      <c r="B184" s="176" t="s">
        <v>402</v>
      </c>
      <c r="C184" s="176" t="s">
        <v>3060</v>
      </c>
      <c r="D184" s="170" t="str">
        <f>VLOOKUP(B184,'HECVAT - Full | Vendor Response'!A$4:D$320,4,TRUE)</f>
        <v>Weave saves all audit logs in AWS cloudwatch</v>
      </c>
      <c r="E184" s="187" t="s">
        <v>115</v>
      </c>
      <c r="F184" s="187" t="s">
        <v>3061</v>
      </c>
      <c r="G184" s="187" t="s">
        <v>3062</v>
      </c>
      <c r="H184" s="181" t="s">
        <v>3063</v>
      </c>
      <c r="I184" s="181" t="s">
        <v>3064</v>
      </c>
      <c r="J184" s="266" t="str">
        <f t="shared" si="15"/>
        <v>TRUE</v>
      </c>
      <c r="K184" s="166">
        <v>1</v>
      </c>
      <c r="L184" s="167" t="s">
        <v>383</v>
      </c>
      <c r="M184" s="168" t="s">
        <v>102</v>
      </c>
      <c r="N184" s="267" t="str">
        <f>VLOOKUP(B184,'HECVAT - Full | Vendor Response'!A:E,3,FALSE)</f>
        <v>Yes</v>
      </c>
      <c r="O184" s="267" t="str">
        <f>IF(LEN(VLOOKUP(B184,'Analyst Report'!$A:$I,7,FALSE))= 0,"",VLOOKUP(B184,'Analyst Report'!$A:$I,7,FALSE))</f>
        <v/>
      </c>
      <c r="P184" s="267">
        <f t="shared" si="13"/>
        <v>1</v>
      </c>
      <c r="Q184" s="189">
        <v>25</v>
      </c>
      <c r="R184" s="267">
        <f>IF(LEN(VLOOKUP(B184,'Analyst Report'!$A$31:$I$288,9,FALSE))=0,VLOOKUP(B184,'Analyst Report'!$A$31:$I$288,8,FALSE),VLOOKUP(B184,'Analyst Report'!$A$31:$I$288,9,FALSE))</f>
        <v>25</v>
      </c>
      <c r="S184" s="267">
        <f t="shared" si="17"/>
        <v>25</v>
      </c>
      <c r="T184" s="267">
        <f t="shared" si="14"/>
        <v>25</v>
      </c>
      <c r="U184" s="164" t="s">
        <v>115</v>
      </c>
      <c r="V184" s="164" t="s">
        <v>115</v>
      </c>
      <c r="W184" s="164" t="s">
        <v>115</v>
      </c>
      <c r="X184" s="164" t="s">
        <v>115</v>
      </c>
      <c r="Y184" s="164" t="s">
        <v>115</v>
      </c>
      <c r="Z184" s="164" t="s">
        <v>115</v>
      </c>
      <c r="AA184" s="164" t="s">
        <v>115</v>
      </c>
      <c r="AB184" s="164" t="s">
        <v>115</v>
      </c>
    </row>
    <row r="185" spans="1:28" ht="225">
      <c r="A185" s="169">
        <f t="shared" si="16"/>
        <v>168</v>
      </c>
      <c r="B185" s="176" t="s">
        <v>405</v>
      </c>
      <c r="C185" s="176" t="s">
        <v>3065</v>
      </c>
      <c r="D185" s="170" t="str">
        <f>VLOOKUP(B185,'HECVAT - Full | Vendor Response'!A$4:D$320,4,TRUE)</f>
        <v>The Security team is led by the Director of Security &amp; Compliance and includes a cross-functional team from the CEO and HR/Business Analyst to System Adminstrators.</v>
      </c>
      <c r="E185" s="165" t="s">
        <v>115</v>
      </c>
      <c r="F185" s="165" t="s">
        <v>3066</v>
      </c>
      <c r="G185" s="165" t="s">
        <v>3067</v>
      </c>
      <c r="H185" s="177" t="s">
        <v>3068</v>
      </c>
      <c r="I185" s="177" t="s">
        <v>3069</v>
      </c>
      <c r="J185" s="266" t="str">
        <f t="shared" ref="J185:J234" si="19">IF(S185&gt;20,"TRUE","FALSE")</f>
        <v>FALSE</v>
      </c>
      <c r="K185" s="173">
        <v>1</v>
      </c>
      <c r="L185" s="266" t="s">
        <v>404</v>
      </c>
      <c r="M185" s="267" t="s">
        <v>102</v>
      </c>
      <c r="N185" s="267" t="str">
        <f>VLOOKUP(B185,'HECVAT - Full | Vendor Response'!A:E,3,FALSE)</f>
        <v>Yes</v>
      </c>
      <c r="O185" s="267" t="str">
        <f>IF(LEN(VLOOKUP(B185,'Analyst Report'!$A:$I,7,FALSE))= 0,"",VLOOKUP(B185,'Analyst Report'!$A:$I,7,FALSE))</f>
        <v/>
      </c>
      <c r="P185" s="267">
        <f t="shared" ref="P185:P226" si="20">IF((O185=""),(IF(ISNUMBER(FIND(M185,N185)), 1, 0)),(IF(ISNUMBER(FIND(M185,O185)), 1, 0)))</f>
        <v>1</v>
      </c>
      <c r="Q185" s="267">
        <v>20</v>
      </c>
      <c r="R185" s="267">
        <f>IF(LEN(VLOOKUP(B185,'Analyst Report'!$A$31:$I$288,9,FALSE))=0,VLOOKUP(B185,'Analyst Report'!$A$31:$I$288,8,FALSE),VLOOKUP(B185,'Analyst Report'!$A$31:$I$288,9,FALSE))</f>
        <v>20</v>
      </c>
      <c r="S185" s="267">
        <f t="shared" si="17"/>
        <v>20</v>
      </c>
      <c r="T185" s="267">
        <f t="shared" ref="T185:T226" si="21">P185*S185</f>
        <v>20</v>
      </c>
      <c r="U185" s="164" t="s">
        <v>115</v>
      </c>
      <c r="V185" s="164" t="s">
        <v>115</v>
      </c>
      <c r="W185" s="164" t="s">
        <v>115</v>
      </c>
      <c r="X185" s="164" t="s">
        <v>115</v>
      </c>
      <c r="Y185" s="164" t="s">
        <v>115</v>
      </c>
      <c r="Z185" s="164" t="s">
        <v>115</v>
      </c>
      <c r="AA185" s="164" t="s">
        <v>115</v>
      </c>
      <c r="AB185" s="164" t="s">
        <v>115</v>
      </c>
    </row>
    <row r="186" spans="1:28" ht="165">
      <c r="A186" s="169">
        <f t="shared" si="16"/>
        <v>169</v>
      </c>
      <c r="B186" s="176" t="s">
        <v>407</v>
      </c>
      <c r="C186" s="176" t="s">
        <v>3070</v>
      </c>
      <c r="D186" s="170" t="str">
        <f>VLOOKUP(B186,'HECVAT - Full | Vendor Response'!A$4:D$320,4,TRUE)</f>
        <v>As part of its continuous monitoring plan, Weave deploys patches monthly and it's verifies by the Security manager.</v>
      </c>
      <c r="E186" s="187" t="s">
        <v>115</v>
      </c>
      <c r="F186" s="187"/>
      <c r="G186" s="187"/>
      <c r="H186" s="181" t="s">
        <v>3071</v>
      </c>
      <c r="I186" s="181" t="s">
        <v>3072</v>
      </c>
      <c r="J186" s="266" t="str">
        <f t="shared" si="19"/>
        <v>TRUE</v>
      </c>
      <c r="K186" s="173">
        <v>1</v>
      </c>
      <c r="L186" s="266" t="s">
        <v>404</v>
      </c>
      <c r="M186" s="267" t="s">
        <v>102</v>
      </c>
      <c r="N186" s="267" t="str">
        <f>VLOOKUP(B186,'HECVAT - Full | Vendor Response'!A:E,3,FALSE)</f>
        <v>Yes</v>
      </c>
      <c r="O186" s="267" t="str">
        <f>IF(LEN(VLOOKUP(B186,'Analyst Report'!$A:$I,7,FALSE))= 0,"",VLOOKUP(B186,'Analyst Report'!$A:$I,7,FALSE))</f>
        <v/>
      </c>
      <c r="P186" s="267">
        <f t="shared" si="20"/>
        <v>1</v>
      </c>
      <c r="Q186" s="267">
        <v>25</v>
      </c>
      <c r="R186" s="267">
        <f>IF(LEN(VLOOKUP(B186,'Analyst Report'!$A$31:$I$288,9,FALSE))=0,VLOOKUP(B186,'Analyst Report'!$A$31:$I$288,8,FALSE),VLOOKUP(B186,'Analyst Report'!$A$31:$I$288,9,FALSE))</f>
        <v>25</v>
      </c>
      <c r="S186" s="267">
        <f t="shared" si="17"/>
        <v>25</v>
      </c>
      <c r="T186" s="267">
        <f t="shared" si="21"/>
        <v>25</v>
      </c>
      <c r="U186" s="164" t="s">
        <v>115</v>
      </c>
      <c r="V186" s="164" t="s">
        <v>115</v>
      </c>
      <c r="W186" s="164" t="s">
        <v>115</v>
      </c>
      <c r="X186" s="164" t="s">
        <v>115</v>
      </c>
      <c r="Y186" s="164" t="s">
        <v>115</v>
      </c>
      <c r="Z186" s="164" t="s">
        <v>115</v>
      </c>
      <c r="AA186" s="164" t="s">
        <v>115</v>
      </c>
      <c r="AB186" s="164" t="s">
        <v>115</v>
      </c>
    </row>
    <row r="187" spans="1:28" ht="180">
      <c r="A187" s="169">
        <f t="shared" si="16"/>
        <v>170</v>
      </c>
      <c r="B187" s="176" t="s">
        <v>409</v>
      </c>
      <c r="C187" s="176" t="s">
        <v>3073</v>
      </c>
      <c r="D187" s="170">
        <f>VLOOKUP(B187,'HECVAT - Full | Vendor Response'!A$4:D$320,4,TRUE)</f>
        <v>0</v>
      </c>
      <c r="E187" s="187" t="s">
        <v>115</v>
      </c>
      <c r="F187" s="187"/>
      <c r="G187" s="187"/>
      <c r="H187" s="181" t="s">
        <v>2822</v>
      </c>
      <c r="I187" s="181" t="s">
        <v>2823</v>
      </c>
      <c r="J187" s="266" t="str">
        <f t="shared" si="19"/>
        <v>FALSE</v>
      </c>
      <c r="K187" s="173">
        <v>1</v>
      </c>
      <c r="L187" s="266" t="s">
        <v>404</v>
      </c>
      <c r="M187" s="267" t="s">
        <v>102</v>
      </c>
      <c r="N187" s="267" t="str">
        <f>VLOOKUP(B187,'HECVAT - Full | Vendor Response'!A:E,3,FALSE)</f>
        <v>Yes</v>
      </c>
      <c r="O187" s="267" t="str">
        <f>IF(LEN(VLOOKUP(B187,'Analyst Report'!$A:$I,7,FALSE))= 0,"",VLOOKUP(B187,'Analyst Report'!$A:$I,7,FALSE))</f>
        <v/>
      </c>
      <c r="P187" s="267">
        <f t="shared" si="20"/>
        <v>1</v>
      </c>
      <c r="Q187" s="267">
        <v>20</v>
      </c>
      <c r="R187" s="267">
        <f>IF(LEN(VLOOKUP(B187,'Analyst Report'!$A$31:$I$288,9,FALSE))=0,VLOOKUP(B187,'Analyst Report'!$A$31:$I$288,8,FALSE),VLOOKUP(B187,'Analyst Report'!$A$31:$I$288,9,FALSE))</f>
        <v>20</v>
      </c>
      <c r="S187" s="267">
        <f t="shared" si="17"/>
        <v>20</v>
      </c>
      <c r="T187" s="267">
        <f t="shared" si="21"/>
        <v>20</v>
      </c>
      <c r="U187" s="164" t="s">
        <v>115</v>
      </c>
      <c r="V187" s="164" t="s">
        <v>115</v>
      </c>
      <c r="W187" s="164" t="s">
        <v>115</v>
      </c>
      <c r="X187" s="164" t="s">
        <v>115</v>
      </c>
      <c r="Y187" s="164" t="s">
        <v>115</v>
      </c>
      <c r="Z187" s="164" t="s">
        <v>115</v>
      </c>
      <c r="AA187" s="164" t="s">
        <v>115</v>
      </c>
      <c r="AB187" s="164" t="s">
        <v>115</v>
      </c>
    </row>
    <row r="188" spans="1:28" ht="195">
      <c r="A188" s="169">
        <f t="shared" si="16"/>
        <v>171</v>
      </c>
      <c r="B188" s="176" t="s">
        <v>410</v>
      </c>
      <c r="C188" s="176" t="s">
        <v>3074</v>
      </c>
      <c r="D188" s="170" t="str">
        <f>VLOOKUP(B188,'HECVAT - Full | Vendor Response'!A$4:D$320,4,TRUE)</f>
        <v>DevSecOps includes security as a regular process of the agile development workflow. The Security Manager is involved in every sprint kick off and conducts a security review on each ticket before anything is pushed to production.</v>
      </c>
      <c r="E188" s="165" t="s">
        <v>115</v>
      </c>
      <c r="F188" s="165" t="s">
        <v>3075</v>
      </c>
      <c r="G188" s="165" t="s">
        <v>3076</v>
      </c>
      <c r="H188" s="177" t="s">
        <v>2581</v>
      </c>
      <c r="I188" s="177" t="s">
        <v>2582</v>
      </c>
      <c r="J188" s="266" t="str">
        <f t="shared" si="19"/>
        <v>FALSE</v>
      </c>
      <c r="K188" s="173">
        <v>1</v>
      </c>
      <c r="L188" s="266" t="s">
        <v>404</v>
      </c>
      <c r="M188" s="267" t="s">
        <v>102</v>
      </c>
      <c r="N188" s="267" t="str">
        <f>VLOOKUP(B188,'HECVAT - Full | Vendor Response'!A:E,3,FALSE)</f>
        <v>Yes</v>
      </c>
      <c r="O188" s="267" t="str">
        <f>IF(LEN(VLOOKUP(B188,'Analyst Report'!$A:$I,7,FALSE))= 0,"",VLOOKUP(B188,'Analyst Report'!$A:$I,7,FALSE))</f>
        <v/>
      </c>
      <c r="P188" s="267">
        <f t="shared" si="20"/>
        <v>1</v>
      </c>
      <c r="Q188" s="267">
        <v>15</v>
      </c>
      <c r="R188" s="267">
        <f>IF(LEN(VLOOKUP(B188,'Analyst Report'!$A$31:$I$288,9,FALSE))=0,VLOOKUP(B188,'Analyst Report'!$A$31:$I$288,8,FALSE),VLOOKUP(B188,'Analyst Report'!$A$31:$I$288,9,FALSE))</f>
        <v>15</v>
      </c>
      <c r="S188" s="267">
        <f t="shared" si="17"/>
        <v>15</v>
      </c>
      <c r="T188" s="267">
        <f t="shared" si="21"/>
        <v>15</v>
      </c>
      <c r="U188" s="164" t="s">
        <v>115</v>
      </c>
      <c r="V188" s="164" t="s">
        <v>115</v>
      </c>
      <c r="W188" s="164" t="s">
        <v>115</v>
      </c>
      <c r="X188" s="164" t="s">
        <v>115</v>
      </c>
      <c r="Y188" s="164" t="s">
        <v>115</v>
      </c>
      <c r="Z188" s="164" t="s">
        <v>115</v>
      </c>
      <c r="AA188" s="164" t="s">
        <v>115</v>
      </c>
      <c r="AB188" s="164" t="s">
        <v>115</v>
      </c>
    </row>
    <row r="189" spans="1:28" ht="210">
      <c r="A189" s="169">
        <f t="shared" si="16"/>
        <v>172</v>
      </c>
      <c r="B189" s="176" t="s">
        <v>412</v>
      </c>
      <c r="C189" s="176" t="s">
        <v>3077</v>
      </c>
      <c r="D189" s="170" t="str">
        <f>VLOOKUP(B189,'HECVAT - Full | Vendor Response'!A$4:D$320,4,TRUE)</f>
        <v>DevSecOps includes security as a regular process of the agile development workflow. The Security Manager is involved in every sprint kick off and conducts a security review on each ticket before anything is pushed to production.</v>
      </c>
      <c r="E189" s="187" t="s">
        <v>115</v>
      </c>
      <c r="F189" s="187" t="s">
        <v>3078</v>
      </c>
      <c r="G189" s="187" t="s">
        <v>3079</v>
      </c>
      <c r="H189" s="181" t="s">
        <v>3080</v>
      </c>
      <c r="I189" s="181" t="s">
        <v>3081</v>
      </c>
      <c r="J189" s="266" t="str">
        <f t="shared" si="19"/>
        <v>FALSE</v>
      </c>
      <c r="K189" s="173">
        <v>1</v>
      </c>
      <c r="L189" s="266" t="s">
        <v>404</v>
      </c>
      <c r="M189" s="267" t="s">
        <v>102</v>
      </c>
      <c r="N189" s="267" t="str">
        <f>VLOOKUP(B189,'HECVAT - Full | Vendor Response'!A:E,3,FALSE)</f>
        <v>Yes</v>
      </c>
      <c r="O189" s="267" t="str">
        <f>IF(LEN(VLOOKUP(B189,'Analyst Report'!$A:$I,7,FALSE))= 0,"",VLOOKUP(B189,'Analyst Report'!$A:$I,7,FALSE))</f>
        <v/>
      </c>
      <c r="P189" s="267">
        <f t="shared" si="20"/>
        <v>1</v>
      </c>
      <c r="Q189" s="267">
        <v>20</v>
      </c>
      <c r="R189" s="267">
        <f>IF(LEN(VLOOKUP(B189,'Analyst Report'!$A$31:$I$288,9,FALSE))=0,VLOOKUP(B189,'Analyst Report'!$A$31:$I$288,8,FALSE),VLOOKUP(B189,'Analyst Report'!$A$31:$I$288,9,FALSE))</f>
        <v>20</v>
      </c>
      <c r="S189" s="267">
        <f t="shared" si="17"/>
        <v>20</v>
      </c>
      <c r="T189" s="267">
        <f t="shared" si="21"/>
        <v>20</v>
      </c>
      <c r="U189" s="164" t="s">
        <v>115</v>
      </c>
      <c r="V189" s="164" t="s">
        <v>115</v>
      </c>
      <c r="W189" s="164" t="s">
        <v>115</v>
      </c>
      <c r="X189" s="164" t="s">
        <v>115</v>
      </c>
      <c r="Y189" s="164" t="s">
        <v>115</v>
      </c>
      <c r="Z189" s="164" t="s">
        <v>115</v>
      </c>
      <c r="AA189" s="164" t="s">
        <v>115</v>
      </c>
      <c r="AB189" s="164" t="s">
        <v>115</v>
      </c>
    </row>
    <row r="190" spans="1:28" ht="135">
      <c r="A190" s="169">
        <f t="shared" si="16"/>
        <v>173</v>
      </c>
      <c r="B190" s="176" t="s">
        <v>413</v>
      </c>
      <c r="C190" s="176" t="s">
        <v>3082</v>
      </c>
      <c r="D190" s="170" t="str">
        <f>VLOOKUP(B190,'HECVAT - Full | Vendor Response'!A$4:D$320,4,TRUE)</f>
        <v>Institutions will be notified within 24 hours or in compliance with their state laws.</v>
      </c>
      <c r="E190" s="187" t="s">
        <v>115</v>
      </c>
      <c r="F190" s="187" t="s">
        <v>3083</v>
      </c>
      <c r="G190" s="187" t="s">
        <v>3084</v>
      </c>
      <c r="H190" s="181" t="s">
        <v>3085</v>
      </c>
      <c r="I190" s="181" t="s">
        <v>3086</v>
      </c>
      <c r="J190" s="266" t="str">
        <f t="shared" si="19"/>
        <v>FALSE</v>
      </c>
      <c r="K190" s="173">
        <v>1</v>
      </c>
      <c r="L190" s="266" t="s">
        <v>404</v>
      </c>
      <c r="M190" s="267" t="s">
        <v>102</v>
      </c>
      <c r="N190" s="267" t="str">
        <f>VLOOKUP(B190,'HECVAT - Full | Vendor Response'!A:E,3,FALSE)</f>
        <v>Yes</v>
      </c>
      <c r="O190" s="267" t="str">
        <f>IF(LEN(VLOOKUP(B190,'Analyst Report'!$A:$I,7,FALSE))= 0,"",VLOOKUP(B190,'Analyst Report'!$A:$I,7,FALSE))</f>
        <v/>
      </c>
      <c r="P190" s="267">
        <f t="shared" si="20"/>
        <v>1</v>
      </c>
      <c r="Q190" s="267">
        <v>15</v>
      </c>
      <c r="R190" s="267">
        <f>IF(LEN(VLOOKUP(B190,'Analyst Report'!$A$31:$I$288,9,FALSE))=0,VLOOKUP(B190,'Analyst Report'!$A$31:$I$288,8,FALSE),VLOOKUP(B190,'Analyst Report'!$A$31:$I$288,9,FALSE))</f>
        <v>15</v>
      </c>
      <c r="S190" s="267">
        <f t="shared" si="17"/>
        <v>15</v>
      </c>
      <c r="T190" s="267">
        <f t="shared" si="21"/>
        <v>15</v>
      </c>
      <c r="U190" s="164" t="s">
        <v>115</v>
      </c>
      <c r="V190" s="164" t="s">
        <v>115</v>
      </c>
      <c r="W190" s="164" t="s">
        <v>115</v>
      </c>
      <c r="X190" s="164" t="s">
        <v>115</v>
      </c>
      <c r="Y190" s="164" t="s">
        <v>115</v>
      </c>
      <c r="Z190" s="164" t="s">
        <v>115</v>
      </c>
      <c r="AA190" s="164" t="s">
        <v>115</v>
      </c>
      <c r="AB190" s="164" t="s">
        <v>115</v>
      </c>
    </row>
    <row r="191" spans="1:28" ht="120">
      <c r="A191" s="169">
        <f t="shared" si="16"/>
        <v>174</v>
      </c>
      <c r="B191" s="176" t="s">
        <v>415</v>
      </c>
      <c r="C191" s="176" t="s">
        <v>3087</v>
      </c>
      <c r="D191" s="170" t="str">
        <f>VLOOKUP(B191,'HECVAT - Full | Vendor Response'!A$4:D$320,4,TRUE)</f>
        <v>Upon onboarding, Weave's support team works with the institution's IT team to ensure that all policies are complied with.</v>
      </c>
      <c r="E191" s="187" t="s">
        <v>115</v>
      </c>
      <c r="F191" s="187" t="s">
        <v>3088</v>
      </c>
      <c r="G191" s="187" t="s">
        <v>3089</v>
      </c>
      <c r="H191" s="181" t="s">
        <v>3090</v>
      </c>
      <c r="I191" s="181" t="s">
        <v>3091</v>
      </c>
      <c r="J191" s="266" t="str">
        <f t="shared" si="19"/>
        <v>TRUE</v>
      </c>
      <c r="K191" s="173">
        <v>1</v>
      </c>
      <c r="L191" s="266" t="s">
        <v>404</v>
      </c>
      <c r="M191" s="267" t="s">
        <v>102</v>
      </c>
      <c r="N191" s="267" t="str">
        <f>VLOOKUP(B191,'HECVAT - Full | Vendor Response'!A:E,3,FALSE)</f>
        <v>Yes</v>
      </c>
      <c r="O191" s="267" t="str">
        <f>IF(LEN(VLOOKUP(B191,'Analyst Report'!$A:$I,7,FALSE))= 0,"",VLOOKUP(B191,'Analyst Report'!$A:$I,7,FALSE))</f>
        <v/>
      </c>
      <c r="P191" s="267">
        <f t="shared" si="20"/>
        <v>1</v>
      </c>
      <c r="Q191" s="267">
        <v>25</v>
      </c>
      <c r="R191" s="267">
        <f>IF(LEN(VLOOKUP(B191,'Analyst Report'!$A$31:$I$288,9,FALSE))=0,VLOOKUP(B191,'Analyst Report'!$A$31:$I$288,8,FALSE),VLOOKUP(B191,'Analyst Report'!$A$31:$I$288,9,FALSE))</f>
        <v>25</v>
      </c>
      <c r="S191" s="267">
        <f t="shared" si="17"/>
        <v>25</v>
      </c>
      <c r="T191" s="267">
        <f t="shared" si="21"/>
        <v>25</v>
      </c>
      <c r="U191" s="164" t="s">
        <v>115</v>
      </c>
      <c r="V191" s="164" t="s">
        <v>115</v>
      </c>
      <c r="W191" s="164" t="s">
        <v>115</v>
      </c>
      <c r="X191" s="164" t="s">
        <v>115</v>
      </c>
      <c r="Y191" s="164" t="s">
        <v>115</v>
      </c>
      <c r="Z191" s="164" t="s">
        <v>115</v>
      </c>
      <c r="AA191" s="164" t="s">
        <v>115</v>
      </c>
      <c r="AB191" s="164" t="s">
        <v>115</v>
      </c>
    </row>
    <row r="192" spans="1:28" ht="135">
      <c r="A192" s="169">
        <f t="shared" si="16"/>
        <v>175</v>
      </c>
      <c r="B192" s="176" t="s">
        <v>417</v>
      </c>
      <c r="C192" s="176" t="s">
        <v>3092</v>
      </c>
      <c r="D192" s="170" t="str">
        <f>VLOOKUP(B192,'HECVAT - Full | Vendor Response'!A$4:D$320,4,TRUE)</f>
        <v>Weave complies with instuttional laws and regulations</v>
      </c>
      <c r="E192" s="187" t="s">
        <v>3093</v>
      </c>
      <c r="F192" s="187"/>
      <c r="G192" s="187"/>
      <c r="H192" s="181" t="s">
        <v>3085</v>
      </c>
      <c r="I192" s="181" t="s">
        <v>3086</v>
      </c>
      <c r="J192" s="266" t="str">
        <f t="shared" si="19"/>
        <v>TRUE</v>
      </c>
      <c r="K192" s="173">
        <v>1</v>
      </c>
      <c r="L192" s="266" t="s">
        <v>404</v>
      </c>
      <c r="M192" s="267" t="s">
        <v>102</v>
      </c>
      <c r="N192" s="267" t="str">
        <f>VLOOKUP(B192,'HECVAT - Full | Vendor Response'!A:E,3,FALSE)</f>
        <v>Yes</v>
      </c>
      <c r="O192" s="267" t="str">
        <f>IF(LEN(VLOOKUP(B192,'Analyst Report'!$A:$I,7,FALSE))= 0,"",VLOOKUP(B192,'Analyst Report'!$A:$I,7,FALSE))</f>
        <v/>
      </c>
      <c r="P192" s="267">
        <f t="shared" si="20"/>
        <v>1</v>
      </c>
      <c r="Q192" s="267">
        <v>25</v>
      </c>
      <c r="R192" s="267">
        <f>IF(LEN(VLOOKUP(B192,'Analyst Report'!$A$31:$I$288,9,FALSE))=0,VLOOKUP(B192,'Analyst Report'!$A$31:$I$288,8,FALSE),VLOOKUP(B192,'Analyst Report'!$A$31:$I$288,9,FALSE))</f>
        <v>25</v>
      </c>
      <c r="S192" s="267">
        <f t="shared" si="17"/>
        <v>25</v>
      </c>
      <c r="T192" s="267">
        <f t="shared" si="21"/>
        <v>25</v>
      </c>
      <c r="U192" s="164" t="s">
        <v>115</v>
      </c>
      <c r="V192" s="164" t="s">
        <v>115</v>
      </c>
      <c r="W192" s="164" t="s">
        <v>115</v>
      </c>
      <c r="X192" s="164" t="s">
        <v>115</v>
      </c>
      <c r="Y192" s="164" t="s">
        <v>115</v>
      </c>
      <c r="Z192" s="164" t="s">
        <v>115</v>
      </c>
      <c r="AA192" s="164" t="s">
        <v>115</v>
      </c>
      <c r="AB192" s="164" t="s">
        <v>115</v>
      </c>
    </row>
    <row r="193" spans="1:28" ht="195">
      <c r="A193" s="169">
        <f t="shared" si="16"/>
        <v>176</v>
      </c>
      <c r="B193" s="176" t="s">
        <v>419</v>
      </c>
      <c r="C193" s="176" t="s">
        <v>3094</v>
      </c>
      <c r="D193" s="170" t="str">
        <f>VLOOKUP(B193,'HECVAT - Full | Vendor Response'!A$4:D$320,4,TRUE)</f>
        <v>Weave's personnel management procedure includes background checks prior to first day of work.</v>
      </c>
      <c r="E193" s="187" t="s">
        <v>115</v>
      </c>
      <c r="F193" s="187" t="s">
        <v>3095</v>
      </c>
      <c r="G193" s="187" t="s">
        <v>3096</v>
      </c>
      <c r="H193" s="181" t="s">
        <v>3097</v>
      </c>
      <c r="I193" s="181" t="s">
        <v>3098</v>
      </c>
      <c r="J193" s="266" t="str">
        <f t="shared" si="19"/>
        <v>FALSE</v>
      </c>
      <c r="K193" s="173">
        <v>1</v>
      </c>
      <c r="L193" s="266" t="s">
        <v>404</v>
      </c>
      <c r="M193" s="267" t="s">
        <v>102</v>
      </c>
      <c r="N193" s="267" t="str">
        <f>VLOOKUP(B193,'HECVAT - Full | Vendor Response'!A:E,3,FALSE)</f>
        <v>Yes</v>
      </c>
      <c r="O193" s="267" t="str">
        <f>IF(LEN(VLOOKUP(B193,'Analyst Report'!$A:$I,7,FALSE))= 0,"",VLOOKUP(B193,'Analyst Report'!$A:$I,7,FALSE))</f>
        <v/>
      </c>
      <c r="P193" s="267">
        <f t="shared" si="20"/>
        <v>1</v>
      </c>
      <c r="Q193" s="267">
        <v>20</v>
      </c>
      <c r="R193" s="267">
        <f>IF(LEN(VLOOKUP(B193,'Analyst Report'!$A$31:$I$288,9,FALSE))=0,VLOOKUP(B193,'Analyst Report'!$A$31:$I$288,8,FALSE),VLOOKUP(B193,'Analyst Report'!$A$31:$I$288,9,FALSE))</f>
        <v>20</v>
      </c>
      <c r="S193" s="267">
        <f t="shared" si="17"/>
        <v>20</v>
      </c>
      <c r="T193" s="267">
        <f t="shared" si="21"/>
        <v>20</v>
      </c>
      <c r="U193" s="164" t="s">
        <v>115</v>
      </c>
      <c r="V193" s="164" t="s">
        <v>115</v>
      </c>
      <c r="W193" s="164" t="s">
        <v>115</v>
      </c>
      <c r="X193" s="164" t="s">
        <v>115</v>
      </c>
      <c r="Y193" s="164" t="s">
        <v>115</v>
      </c>
      <c r="Z193" s="164" t="s">
        <v>115</v>
      </c>
      <c r="AA193" s="164" t="s">
        <v>115</v>
      </c>
      <c r="AB193" s="164" t="s">
        <v>115</v>
      </c>
    </row>
    <row r="194" spans="1:28" ht="135">
      <c r="A194" s="169">
        <f t="shared" si="16"/>
        <v>177</v>
      </c>
      <c r="B194" s="176" t="s">
        <v>421</v>
      </c>
      <c r="C194" s="176" t="s">
        <v>3099</v>
      </c>
      <c r="D194" s="170" t="str">
        <f>VLOOKUP(B194,'HECVAT - Full | Vendor Response'!A$4:D$320,4,TRUE)</f>
        <v>Weave new employees undergo training including policies and sign agreements.</v>
      </c>
      <c r="E194" s="187" t="s">
        <v>115</v>
      </c>
      <c r="F194" s="187" t="s">
        <v>3100</v>
      </c>
      <c r="G194" s="187" t="s">
        <v>3101</v>
      </c>
      <c r="H194" s="181" t="s">
        <v>3102</v>
      </c>
      <c r="I194" s="181" t="s">
        <v>3103</v>
      </c>
      <c r="J194" s="266" t="str">
        <f t="shared" si="19"/>
        <v>FALSE</v>
      </c>
      <c r="K194" s="173">
        <v>1</v>
      </c>
      <c r="L194" s="266" t="s">
        <v>404</v>
      </c>
      <c r="M194" s="267" t="s">
        <v>102</v>
      </c>
      <c r="N194" s="267" t="str">
        <f>VLOOKUP(B194,'HECVAT - Full | Vendor Response'!A:E,3,FALSE)</f>
        <v>Yes</v>
      </c>
      <c r="O194" s="267" t="str">
        <f>IF(LEN(VLOOKUP(B194,'Analyst Report'!$A:$I,7,FALSE))= 0,"",VLOOKUP(B194,'Analyst Report'!$A:$I,7,FALSE))</f>
        <v/>
      </c>
      <c r="P194" s="267">
        <f t="shared" si="20"/>
        <v>1</v>
      </c>
      <c r="Q194" s="267">
        <v>20</v>
      </c>
      <c r="R194" s="267">
        <f>IF(LEN(VLOOKUP(B194,'Analyst Report'!$A$31:$I$288,9,FALSE))=0,VLOOKUP(B194,'Analyst Report'!$A$31:$I$288,8,FALSE),VLOOKUP(B194,'Analyst Report'!$A$31:$I$288,9,FALSE))</f>
        <v>20</v>
      </c>
      <c r="S194" s="267">
        <f t="shared" si="17"/>
        <v>20</v>
      </c>
      <c r="T194" s="267">
        <f t="shared" si="21"/>
        <v>20</v>
      </c>
      <c r="U194" s="164" t="s">
        <v>115</v>
      </c>
      <c r="V194" s="164" t="s">
        <v>115</v>
      </c>
      <c r="W194" s="164" t="s">
        <v>115</v>
      </c>
      <c r="X194" s="164" t="s">
        <v>115</v>
      </c>
      <c r="Y194" s="164" t="s">
        <v>115</v>
      </c>
      <c r="Z194" s="164" t="s">
        <v>115</v>
      </c>
      <c r="AA194" s="164" t="s">
        <v>115</v>
      </c>
      <c r="AB194" s="164" t="s">
        <v>115</v>
      </c>
    </row>
    <row r="195" spans="1:28" ht="398.1">
      <c r="A195" s="169">
        <f t="shared" si="16"/>
        <v>178</v>
      </c>
      <c r="B195" s="176" t="s">
        <v>423</v>
      </c>
      <c r="C195" s="176" t="s">
        <v>3104</v>
      </c>
      <c r="D195" s="170" t="str">
        <f>VLOOKUP(B195,'HECVAT - Full | Vendor Response'!A$4:D$320,4,TRUE)</f>
        <v>Weave has an nformation security policy</v>
      </c>
      <c r="E195" s="165" t="s">
        <v>115</v>
      </c>
      <c r="F195" s="165" t="s">
        <v>3105</v>
      </c>
      <c r="G195" s="165" t="s">
        <v>3106</v>
      </c>
      <c r="H195" s="177" t="s">
        <v>3107</v>
      </c>
      <c r="I195" s="177" t="s">
        <v>3108</v>
      </c>
      <c r="J195" s="266" t="str">
        <f t="shared" si="19"/>
        <v>FALSE</v>
      </c>
      <c r="K195" s="173">
        <v>1</v>
      </c>
      <c r="L195" s="266" t="s">
        <v>404</v>
      </c>
      <c r="M195" s="267" t="s">
        <v>102</v>
      </c>
      <c r="N195" s="267" t="str">
        <f>VLOOKUP(B195,'HECVAT - Full | Vendor Response'!A:E,3,FALSE)</f>
        <v>Yes</v>
      </c>
      <c r="O195" s="267" t="str">
        <f>IF(LEN(VLOOKUP(B195,'Analyst Report'!$A:$I,7,FALSE))= 0,"",VLOOKUP(B195,'Analyst Report'!$A:$I,7,FALSE))</f>
        <v/>
      </c>
      <c r="P195" s="267">
        <f t="shared" si="20"/>
        <v>1</v>
      </c>
      <c r="Q195" s="267">
        <v>20</v>
      </c>
      <c r="R195" s="267">
        <f>IF(LEN(VLOOKUP(B195,'Analyst Report'!$A$31:$I$288,9,FALSE))=0,VLOOKUP(B195,'Analyst Report'!$A$31:$I$288,8,FALSE),VLOOKUP(B195,'Analyst Report'!$A$31:$I$288,9,FALSE))</f>
        <v>20</v>
      </c>
      <c r="S195" s="267">
        <f t="shared" si="17"/>
        <v>20</v>
      </c>
      <c r="T195" s="267">
        <f t="shared" si="21"/>
        <v>20</v>
      </c>
      <c r="U195" s="164" t="s">
        <v>115</v>
      </c>
      <c r="V195" s="164" t="s">
        <v>115</v>
      </c>
      <c r="W195" s="164" t="s">
        <v>115</v>
      </c>
      <c r="X195" s="164" t="s">
        <v>115</v>
      </c>
      <c r="Y195" s="164" t="s">
        <v>115</v>
      </c>
      <c r="Z195" s="164" t="s">
        <v>115</v>
      </c>
      <c r="AA195" s="164" t="s">
        <v>115</v>
      </c>
      <c r="AB195" s="164" t="s">
        <v>115</v>
      </c>
    </row>
    <row r="196" spans="1:28" ht="180">
      <c r="A196" s="169">
        <f t="shared" si="16"/>
        <v>179</v>
      </c>
      <c r="B196" s="176" t="s">
        <v>425</v>
      </c>
      <c r="C196" s="176" t="s">
        <v>3109</v>
      </c>
      <c r="D196" s="170" t="str">
        <f>VLOOKUP(B196,'HECVAT - Full | Vendor Response'!A$4:D$320,4,TRUE)</f>
        <v>Weave staff undergo annual security awareness training and the security manager consistently sends out security awareness notices and reminders.</v>
      </c>
      <c r="E196" s="187" t="s">
        <v>115</v>
      </c>
      <c r="F196" s="187" t="s">
        <v>3110</v>
      </c>
      <c r="G196" s="187" t="s">
        <v>3111</v>
      </c>
      <c r="H196" s="181" t="s">
        <v>3112</v>
      </c>
      <c r="I196" s="181" t="s">
        <v>3113</v>
      </c>
      <c r="J196" s="266" t="str">
        <f t="shared" si="19"/>
        <v>FALSE</v>
      </c>
      <c r="K196" s="173">
        <v>1</v>
      </c>
      <c r="L196" s="266" t="s">
        <v>404</v>
      </c>
      <c r="M196" s="267" t="s">
        <v>102</v>
      </c>
      <c r="N196" s="267" t="str">
        <f>VLOOKUP(B196,'HECVAT - Full | Vendor Response'!A:E,3,FALSE)</f>
        <v>Yes</v>
      </c>
      <c r="O196" s="267" t="str">
        <f>IF(LEN(VLOOKUP(B196,'Analyst Report'!$A:$I,7,FALSE))= 0,"",VLOOKUP(B196,'Analyst Report'!$A:$I,7,FALSE))</f>
        <v/>
      </c>
      <c r="P196" s="267">
        <f t="shared" si="20"/>
        <v>1</v>
      </c>
      <c r="Q196" s="267">
        <v>15</v>
      </c>
      <c r="R196" s="267">
        <f>IF(LEN(VLOOKUP(B196,'Analyst Report'!$A$31:$I$288,9,FALSE))=0,VLOOKUP(B196,'Analyst Report'!$A$31:$I$288,8,FALSE),VLOOKUP(B196,'Analyst Report'!$A$31:$I$288,9,FALSE))</f>
        <v>15</v>
      </c>
      <c r="S196" s="267">
        <f t="shared" si="17"/>
        <v>15</v>
      </c>
      <c r="T196" s="267">
        <f t="shared" si="21"/>
        <v>15</v>
      </c>
      <c r="U196" s="164" t="s">
        <v>115</v>
      </c>
      <c r="V196" s="164" t="s">
        <v>115</v>
      </c>
      <c r="W196" s="164" t="s">
        <v>115</v>
      </c>
      <c r="X196" s="164" t="s">
        <v>115</v>
      </c>
      <c r="Y196" s="164" t="s">
        <v>115</v>
      </c>
      <c r="Z196" s="164" t="s">
        <v>115</v>
      </c>
      <c r="AA196" s="164" t="s">
        <v>115</v>
      </c>
      <c r="AB196" s="164" t="s">
        <v>115</v>
      </c>
    </row>
    <row r="197" spans="1:28" ht="180">
      <c r="A197" s="169">
        <f t="shared" si="16"/>
        <v>180</v>
      </c>
      <c r="B197" s="176" t="s">
        <v>427</v>
      </c>
      <c r="C197" s="176" t="s">
        <v>3114</v>
      </c>
      <c r="D197" s="170" t="str">
        <f>VLOOKUP(B197,'HECVAT - Full | Vendor Response'!A$4:D$320,4,TRUE)</f>
        <v>Weave staff undergo annual security awareness training</v>
      </c>
      <c r="E197" s="187" t="s">
        <v>115</v>
      </c>
      <c r="F197" s="187" t="s">
        <v>3115</v>
      </c>
      <c r="G197" s="187" t="s">
        <v>3116</v>
      </c>
      <c r="H197" s="181" t="s">
        <v>3112</v>
      </c>
      <c r="I197" s="181" t="s">
        <v>3113</v>
      </c>
      <c r="J197" s="266" t="str">
        <f t="shared" si="19"/>
        <v>FALSE</v>
      </c>
      <c r="K197" s="173">
        <v>1</v>
      </c>
      <c r="L197" s="266" t="s">
        <v>404</v>
      </c>
      <c r="M197" s="267" t="s">
        <v>102</v>
      </c>
      <c r="N197" s="267" t="str">
        <f>VLOOKUP(B197,'HECVAT - Full | Vendor Response'!A:E,3,FALSE)</f>
        <v>Yes</v>
      </c>
      <c r="O197" s="267" t="str">
        <f>IF(LEN(VLOOKUP(B197,'Analyst Report'!$A:$I,7,FALSE))= 0,"",VLOOKUP(B197,'Analyst Report'!$A:$I,7,FALSE))</f>
        <v/>
      </c>
      <c r="P197" s="267">
        <f t="shared" si="20"/>
        <v>1</v>
      </c>
      <c r="Q197" s="267">
        <v>15</v>
      </c>
      <c r="R197" s="267">
        <f>IF(LEN(VLOOKUP(B197,'Analyst Report'!$A$31:$I$288,9,FALSE))=0,VLOOKUP(B197,'Analyst Report'!$A$31:$I$288,8,FALSE),VLOOKUP(B197,'Analyst Report'!$A$31:$I$288,9,FALSE))</f>
        <v>15</v>
      </c>
      <c r="S197" s="267">
        <f t="shared" si="17"/>
        <v>15</v>
      </c>
      <c r="T197" s="267">
        <f t="shared" si="21"/>
        <v>15</v>
      </c>
      <c r="U197" s="164" t="s">
        <v>115</v>
      </c>
      <c r="V197" s="164" t="s">
        <v>115</v>
      </c>
      <c r="W197" s="164" t="s">
        <v>115</v>
      </c>
      <c r="X197" s="164" t="s">
        <v>115</v>
      </c>
      <c r="Y197" s="164" t="s">
        <v>115</v>
      </c>
      <c r="Z197" s="164" t="s">
        <v>115</v>
      </c>
      <c r="AA197" s="164" t="s">
        <v>115</v>
      </c>
      <c r="AB197" s="164" t="s">
        <v>115</v>
      </c>
    </row>
    <row r="198" spans="1:28" ht="165">
      <c r="A198" s="169">
        <f t="shared" si="16"/>
        <v>181</v>
      </c>
      <c r="B198" s="176" t="s">
        <v>429</v>
      </c>
      <c r="C198" s="170" t="s">
        <v>3117</v>
      </c>
      <c r="D198" s="170" t="str">
        <f>VLOOKUP(B198,'HECVAT - Full | Vendor Response'!A$4:D$320,4,TRUE)</f>
        <v>Weave mantains an access control list detailing staff access and level of privilege.</v>
      </c>
      <c r="E198" s="187" t="s">
        <v>115</v>
      </c>
      <c r="F198" s="187" t="s">
        <v>3118</v>
      </c>
      <c r="G198" s="187" t="s">
        <v>3119</v>
      </c>
      <c r="H198" s="181" t="s">
        <v>3120</v>
      </c>
      <c r="I198" s="181" t="s">
        <v>3121</v>
      </c>
      <c r="J198" s="266" t="str">
        <f t="shared" si="19"/>
        <v>FALSE</v>
      </c>
      <c r="K198" s="173">
        <v>1</v>
      </c>
      <c r="L198" s="266" t="s">
        <v>404</v>
      </c>
      <c r="M198" s="267" t="s">
        <v>102</v>
      </c>
      <c r="N198" s="267" t="str">
        <f>VLOOKUP(B198,'HECVAT - Full | Vendor Response'!A:E,3,FALSE)</f>
        <v>Yes</v>
      </c>
      <c r="O198" s="267" t="str">
        <f>IF(LEN(VLOOKUP(B198,'Analyst Report'!$A:$I,7,FALSE))= 0,"",VLOOKUP(B198,'Analyst Report'!$A:$I,7,FALSE))</f>
        <v/>
      </c>
      <c r="P198" s="267">
        <f t="shared" si="20"/>
        <v>1</v>
      </c>
      <c r="Q198" s="267">
        <v>15</v>
      </c>
      <c r="R198" s="267">
        <f>IF(LEN(VLOOKUP(B198,'Analyst Report'!$A$31:$I$288,9,FALSE))=0,VLOOKUP(B198,'Analyst Report'!$A$31:$I$288,8,FALSE),VLOOKUP(B198,'Analyst Report'!$A$31:$I$288,9,FALSE))</f>
        <v>15</v>
      </c>
      <c r="S198" s="267">
        <f t="shared" si="17"/>
        <v>15</v>
      </c>
      <c r="T198" s="267">
        <f t="shared" si="21"/>
        <v>15</v>
      </c>
      <c r="U198" s="164" t="s">
        <v>115</v>
      </c>
      <c r="V198" s="164" t="s">
        <v>115</v>
      </c>
      <c r="W198" s="164" t="s">
        <v>115</v>
      </c>
      <c r="X198" s="164" t="s">
        <v>115</v>
      </c>
      <c r="Y198" s="164" t="s">
        <v>115</v>
      </c>
      <c r="Z198" s="164" t="s">
        <v>115</v>
      </c>
      <c r="AA198" s="164" t="s">
        <v>115</v>
      </c>
      <c r="AB198" s="164" t="s">
        <v>115</v>
      </c>
    </row>
    <row r="199" spans="1:28" ht="150">
      <c r="A199" s="169">
        <f t="shared" si="16"/>
        <v>182</v>
      </c>
      <c r="B199" s="176" t="s">
        <v>431</v>
      </c>
      <c r="C199" s="170" t="s">
        <v>3122</v>
      </c>
      <c r="D199" s="170" t="str">
        <f>VLOOKUP(B199,'HECVAT - Full | Vendor Response'!A$4:D$320,4,TRUE)</f>
        <v>Weave carries cyberinsurance.</v>
      </c>
      <c r="E199" s="187" t="s">
        <v>115</v>
      </c>
      <c r="F199" s="187" t="s">
        <v>3123</v>
      </c>
      <c r="G199" s="187" t="s">
        <v>3124</v>
      </c>
      <c r="H199" s="181" t="s">
        <v>3125</v>
      </c>
      <c r="I199" s="181" t="s">
        <v>3126</v>
      </c>
      <c r="J199" s="266" t="str">
        <f t="shared" si="19"/>
        <v>FALSE</v>
      </c>
      <c r="K199" s="173">
        <v>1</v>
      </c>
      <c r="L199" s="266" t="s">
        <v>404</v>
      </c>
      <c r="M199" s="267" t="s">
        <v>102</v>
      </c>
      <c r="N199" s="267" t="str">
        <f>VLOOKUP(B199,'HECVAT - Full | Vendor Response'!A:E,3,FALSE)</f>
        <v>Yes</v>
      </c>
      <c r="O199" s="267" t="str">
        <f>IF(LEN(VLOOKUP(B199,'Analyst Report'!$A:$I,7,FALSE))= 0,"",VLOOKUP(B199,'Analyst Report'!$A:$I,7,FALSE))</f>
        <v/>
      </c>
      <c r="P199" s="267">
        <f t="shared" si="20"/>
        <v>1</v>
      </c>
      <c r="Q199" s="267">
        <v>15</v>
      </c>
      <c r="R199" s="267">
        <f>IF(LEN(VLOOKUP(B199,'Analyst Report'!$A$31:$I$288,9,FALSE))=0,VLOOKUP(B199,'Analyst Report'!$A$31:$I$288,8,FALSE),VLOOKUP(B199,'Analyst Report'!$A$31:$I$288,9,FALSE))</f>
        <v>15</v>
      </c>
      <c r="S199" s="267">
        <f t="shared" si="17"/>
        <v>15</v>
      </c>
      <c r="T199" s="267">
        <f t="shared" si="21"/>
        <v>15</v>
      </c>
      <c r="U199" s="164" t="s">
        <v>115</v>
      </c>
      <c r="V199" s="164" t="s">
        <v>115</v>
      </c>
      <c r="W199" s="164" t="s">
        <v>115</v>
      </c>
      <c r="X199" s="164" t="s">
        <v>115</v>
      </c>
      <c r="Y199" s="164" t="s">
        <v>115</v>
      </c>
      <c r="Z199" s="164" t="s">
        <v>115</v>
      </c>
      <c r="AA199" s="164" t="s">
        <v>115</v>
      </c>
      <c r="AB199" s="164" t="s">
        <v>115</v>
      </c>
    </row>
    <row r="200" spans="1:28" ht="90">
      <c r="A200" s="169">
        <f t="shared" si="16"/>
        <v>183</v>
      </c>
      <c r="B200" s="176" t="s">
        <v>433</v>
      </c>
      <c r="C200" s="170" t="s">
        <v>3127</v>
      </c>
      <c r="D200" s="170" t="str">
        <f>VLOOKUP(B200,'HECVAT - Full | Vendor Response'!A$4:D$320,4,TRUE)</f>
        <v>Weave carries cyberinsurance.</v>
      </c>
      <c r="E200" s="187" t="s">
        <v>115</v>
      </c>
      <c r="F200" s="187" t="s">
        <v>3128</v>
      </c>
      <c r="G200" s="187" t="s">
        <v>3129</v>
      </c>
      <c r="H200" s="181" t="s">
        <v>3130</v>
      </c>
      <c r="I200" s="181" t="s">
        <v>3131</v>
      </c>
      <c r="J200" s="266" t="str">
        <f>IF(S200&gt;20,"TRUE","FALSE")</f>
        <v>FALSE</v>
      </c>
      <c r="K200" s="173">
        <v>1</v>
      </c>
      <c r="L200" s="266" t="s">
        <v>404</v>
      </c>
      <c r="M200" s="267" t="s">
        <v>102</v>
      </c>
      <c r="N200" s="267" t="str">
        <f>VLOOKUP(B200,'HECVAT - Full | Vendor Response'!A:E,3,FALSE)</f>
        <v>Yes</v>
      </c>
      <c r="O200" s="267" t="str">
        <f>IF(LEN(VLOOKUP(B200,'Analyst Report'!$A:$I,7,FALSE))= 0,"",VLOOKUP(B200,'Analyst Report'!$A:$I,7,FALSE))</f>
        <v/>
      </c>
      <c r="P200" s="267">
        <f>IF((O200=""),(IF(ISNUMBER(FIND(M200,N200)), 1, 0)),(IF(ISNUMBER(FIND(M200,O200)), 1, 0)))</f>
        <v>1</v>
      </c>
      <c r="Q200" s="267">
        <v>15</v>
      </c>
      <c r="R200" s="267">
        <f>IF(LEN(VLOOKUP(B200,'Analyst Report'!$A$31:$I$288,9,FALSE))=0,VLOOKUP(B200,'Analyst Report'!$A$31:$I$288,8,FALSE),VLOOKUP(B200,'Analyst Report'!$A$31:$I$288,9,FALSE))</f>
        <v>15</v>
      </c>
      <c r="S200" s="267">
        <f>(IF((ISNUMBER(R200)),R200,Q200))*K200</f>
        <v>15</v>
      </c>
      <c r="T200" s="267">
        <f>P200*S200</f>
        <v>15</v>
      </c>
      <c r="U200" s="164" t="s">
        <v>115</v>
      </c>
      <c r="V200" s="164" t="s">
        <v>115</v>
      </c>
      <c r="W200" s="164" t="s">
        <v>115</v>
      </c>
      <c r="X200" s="164" t="s">
        <v>115</v>
      </c>
      <c r="Y200" s="164" t="s">
        <v>115</v>
      </c>
      <c r="Z200" s="164" t="s">
        <v>115</v>
      </c>
      <c r="AA200" s="164" t="s">
        <v>115</v>
      </c>
      <c r="AB200" s="164" t="s">
        <v>115</v>
      </c>
    </row>
    <row r="201" spans="1:28" ht="225">
      <c r="A201" s="169">
        <f t="shared" si="16"/>
        <v>184</v>
      </c>
      <c r="B201" s="176" t="s">
        <v>435</v>
      </c>
      <c r="C201" s="170" t="s">
        <v>3132</v>
      </c>
      <c r="D201" s="170" t="str">
        <f>VLOOKUP(B201,'HECVAT - Full | Vendor Response'!A$4:D$320,4,TRUE)</f>
        <v>Weave saves all audit logs in AWS cloudwatch</v>
      </c>
      <c r="E201" s="265" t="s">
        <v>115</v>
      </c>
      <c r="F201" s="165" t="s">
        <v>3133</v>
      </c>
      <c r="G201" s="165" t="s">
        <v>3134</v>
      </c>
      <c r="H201" s="177" t="s">
        <v>3135</v>
      </c>
      <c r="I201" s="177" t="s">
        <v>3136</v>
      </c>
      <c r="J201" s="266" t="str">
        <f>IF(S201&gt;20,"TRUE","FALSE")</f>
        <v>FALSE</v>
      </c>
      <c r="K201" s="173">
        <v>1</v>
      </c>
      <c r="L201" s="266" t="s">
        <v>434</v>
      </c>
      <c r="M201" s="267" t="s">
        <v>102</v>
      </c>
      <c r="N201" s="267" t="str">
        <f>VLOOKUP(B201,'HECVAT - Full | Vendor Response'!A:E,3,FALSE)</f>
        <v>Yes</v>
      </c>
      <c r="O201" s="267" t="str">
        <f>IF(LEN(VLOOKUP(B201,'Analyst Report'!$A:$I,7,FALSE))= 0,"",VLOOKUP(B201,'Analyst Report'!$A:$I,7,FALSE))</f>
        <v/>
      </c>
      <c r="P201" s="267">
        <f>IF((O201=""),(IF(ISNUMBER(FIND(M201,N201)), 1, 0)),(IF(ISNUMBER(FIND(M201,O201)), 1, 0)))</f>
        <v>1</v>
      </c>
      <c r="Q201" s="267">
        <v>15</v>
      </c>
      <c r="R201" s="267">
        <f>IF(LEN(VLOOKUP(B201,'Analyst Report'!$A$31:$I$288,9,FALSE))=0,VLOOKUP(B201,'Analyst Report'!$A$31:$I$288,8,FALSE),VLOOKUP(B201,'Analyst Report'!$A$31:$I$288,9,FALSE))</f>
        <v>15</v>
      </c>
      <c r="S201" s="267">
        <f>(IF((ISNUMBER(R201)),R201,Q201))*K201</f>
        <v>15</v>
      </c>
      <c r="T201" s="267">
        <f>P201*S201</f>
        <v>15</v>
      </c>
      <c r="U201" s="164" t="s">
        <v>115</v>
      </c>
      <c r="V201" s="164" t="s">
        <v>115</v>
      </c>
      <c r="W201" s="164" t="s">
        <v>115</v>
      </c>
      <c r="X201" s="164" t="s">
        <v>115</v>
      </c>
      <c r="Y201" s="164" t="s">
        <v>115</v>
      </c>
      <c r="Z201" s="164" t="s">
        <v>115</v>
      </c>
      <c r="AA201" s="164" t="s">
        <v>115</v>
      </c>
      <c r="AB201" s="164" t="s">
        <v>115</v>
      </c>
    </row>
    <row r="202" spans="1:28" ht="180">
      <c r="A202" s="169">
        <f t="shared" si="16"/>
        <v>185</v>
      </c>
      <c r="B202" s="176" t="s">
        <v>437</v>
      </c>
      <c r="C202" s="170" t="s">
        <v>3137</v>
      </c>
      <c r="D202" s="170" t="str">
        <f>VLOOKUP(B202,'HECVAT - Full | Vendor Response'!A$4:D$320,4,TRUE)</f>
        <v>Weave saves all audit logs in AWS cloudwatch</v>
      </c>
      <c r="E202" s="265" t="s">
        <v>115</v>
      </c>
      <c r="F202" s="187" t="s">
        <v>3138</v>
      </c>
      <c r="G202" s="187" t="s">
        <v>3139</v>
      </c>
      <c r="H202" s="181" t="s">
        <v>3140</v>
      </c>
      <c r="I202" s="181" t="s">
        <v>3136</v>
      </c>
      <c r="J202" s="266" t="str">
        <f t="shared" si="19"/>
        <v>FALSE</v>
      </c>
      <c r="K202" s="173">
        <v>1</v>
      </c>
      <c r="L202" s="266" t="s">
        <v>434</v>
      </c>
      <c r="M202" s="267" t="s">
        <v>102</v>
      </c>
      <c r="N202" s="267" t="str">
        <f>VLOOKUP(B202,'HECVAT - Full | Vendor Response'!A:E,3,FALSE)</f>
        <v>Yes</v>
      </c>
      <c r="O202" s="267" t="str">
        <f>IF(LEN(VLOOKUP(B202,'Analyst Report'!$A:$I,7,FALSE))= 0,"",VLOOKUP(B202,'Analyst Report'!$A:$I,7,FALSE))</f>
        <v/>
      </c>
      <c r="P202" s="267">
        <f t="shared" si="20"/>
        <v>1</v>
      </c>
      <c r="Q202" s="267">
        <v>15</v>
      </c>
      <c r="R202" s="267">
        <f>IF(LEN(VLOOKUP(B202,'Analyst Report'!$A$31:$I$288,9,FALSE))=0,VLOOKUP(B202,'Analyst Report'!$A$31:$I$288,8,FALSE),VLOOKUP(B202,'Analyst Report'!$A$31:$I$288,9,FALSE))</f>
        <v>15</v>
      </c>
      <c r="S202" s="267">
        <f t="shared" si="17"/>
        <v>15</v>
      </c>
      <c r="T202" s="267">
        <f t="shared" si="21"/>
        <v>15</v>
      </c>
      <c r="U202" s="164" t="s">
        <v>115</v>
      </c>
      <c r="V202" s="164" t="s">
        <v>115</v>
      </c>
      <c r="W202" s="164" t="s">
        <v>115</v>
      </c>
      <c r="X202" s="164" t="s">
        <v>115</v>
      </c>
      <c r="Y202" s="164" t="s">
        <v>115</v>
      </c>
      <c r="Z202" s="164" t="s">
        <v>115</v>
      </c>
      <c r="AA202" s="164" t="s">
        <v>115</v>
      </c>
      <c r="AB202" s="164" t="s">
        <v>115</v>
      </c>
    </row>
    <row r="203" spans="1:28" ht="150">
      <c r="A203" s="169">
        <f t="shared" si="16"/>
        <v>186</v>
      </c>
      <c r="B203" s="176" t="s">
        <v>438</v>
      </c>
      <c r="C203" s="170" t="s">
        <v>3141</v>
      </c>
      <c r="D203" s="170" t="str">
        <f>VLOOKUP(B203,'HECVAT - Full | Vendor Response'!A$4:D$320,4,TRUE)</f>
        <v>Weave saves all audit logs in AWS cloudwatch</v>
      </c>
      <c r="E203" s="265" t="s">
        <v>115</v>
      </c>
      <c r="F203" s="165" t="s">
        <v>3142</v>
      </c>
      <c r="G203" s="165" t="s">
        <v>3143</v>
      </c>
      <c r="H203" s="177" t="s">
        <v>3144</v>
      </c>
      <c r="I203" s="177" t="s">
        <v>3145</v>
      </c>
      <c r="J203" s="266" t="str">
        <f t="shared" si="19"/>
        <v>FALSE</v>
      </c>
      <c r="K203" s="173">
        <v>1</v>
      </c>
      <c r="L203" s="266" t="s">
        <v>434</v>
      </c>
      <c r="M203" s="267" t="s">
        <v>102</v>
      </c>
      <c r="N203" s="267" t="str">
        <f>VLOOKUP(B203,'HECVAT - Full | Vendor Response'!A:E,3,FALSE)</f>
        <v>Yes</v>
      </c>
      <c r="O203" s="267" t="str">
        <f>IF(LEN(VLOOKUP(B203,'Analyst Report'!$A:$I,7,FALSE))= 0,"",VLOOKUP(B203,'Analyst Report'!$A:$I,7,FALSE))</f>
        <v/>
      </c>
      <c r="P203" s="267">
        <f t="shared" si="20"/>
        <v>1</v>
      </c>
      <c r="Q203" s="267">
        <v>15</v>
      </c>
      <c r="R203" s="267">
        <f>IF(LEN(VLOOKUP(B203,'Analyst Report'!$A$31:$I$288,9,FALSE))=0,VLOOKUP(B203,'Analyst Report'!$A$31:$I$288,8,FALSE),VLOOKUP(B203,'Analyst Report'!$A$31:$I$288,9,FALSE))</f>
        <v>15</v>
      </c>
      <c r="S203" s="267">
        <f t="shared" si="17"/>
        <v>15</v>
      </c>
      <c r="T203" s="267">
        <f t="shared" si="21"/>
        <v>15</v>
      </c>
      <c r="U203" s="164" t="s">
        <v>115</v>
      </c>
      <c r="V203" s="164" t="s">
        <v>115</v>
      </c>
      <c r="W203" s="164" t="s">
        <v>115</v>
      </c>
      <c r="X203" s="164" t="s">
        <v>115</v>
      </c>
      <c r="Y203" s="164" t="s">
        <v>115</v>
      </c>
      <c r="Z203" s="164" t="s">
        <v>115</v>
      </c>
      <c r="AA203" s="164" t="s">
        <v>115</v>
      </c>
      <c r="AB203" s="164" t="s">
        <v>115</v>
      </c>
    </row>
    <row r="204" spans="1:28" ht="195">
      <c r="A204" s="169">
        <f t="shared" si="16"/>
        <v>187</v>
      </c>
      <c r="B204" s="176" t="s">
        <v>440</v>
      </c>
      <c r="C204" s="170" t="s">
        <v>3146</v>
      </c>
      <c r="D204" s="170"/>
      <c r="E204" s="265" t="s">
        <v>115</v>
      </c>
      <c r="F204" s="165" t="s">
        <v>3147</v>
      </c>
      <c r="G204" s="165" t="s">
        <v>3148</v>
      </c>
      <c r="H204" s="177" t="s">
        <v>3149</v>
      </c>
      <c r="I204" s="177" t="s">
        <v>3108</v>
      </c>
      <c r="J204" s="266" t="str">
        <f t="shared" si="19"/>
        <v>FALSE</v>
      </c>
      <c r="K204" s="173">
        <v>1</v>
      </c>
      <c r="L204" s="266" t="s">
        <v>434</v>
      </c>
      <c r="M204" s="267" t="s">
        <v>102</v>
      </c>
      <c r="N204" s="267" t="str">
        <f>VLOOKUP(B204,'HECVAT - Full | Vendor Response'!A:E,3,FALSE)</f>
        <v>Yes</v>
      </c>
      <c r="O204" s="267" t="str">
        <f>IF(LEN(VLOOKUP(B204,'Analyst Report'!$A:$I,7,FALSE))= 0,"",VLOOKUP(B204,'Analyst Report'!$A:$I,7,FALSE))</f>
        <v/>
      </c>
      <c r="P204" s="267"/>
      <c r="Q204" s="267">
        <v>15</v>
      </c>
      <c r="R204" s="267">
        <f>IF(LEN(VLOOKUP(B204,'Analyst Report'!$A$31:$I$288,9,FALSE))=0,VLOOKUP(B204,'Analyst Report'!$A$31:$I$288,8,FALSE),VLOOKUP(B204,'Analyst Report'!$A$31:$I$288,9,FALSE))</f>
        <v>15</v>
      </c>
      <c r="S204" s="267">
        <f t="shared" si="17"/>
        <v>15</v>
      </c>
      <c r="T204" s="267"/>
      <c r="U204" s="164" t="s">
        <v>115</v>
      </c>
      <c r="V204" s="164" t="s">
        <v>115</v>
      </c>
      <c r="W204" s="164" t="s">
        <v>115</v>
      </c>
      <c r="X204" s="164" t="s">
        <v>115</v>
      </c>
      <c r="Y204" s="164" t="s">
        <v>115</v>
      </c>
      <c r="Z204" s="164" t="s">
        <v>115</v>
      </c>
      <c r="AA204" s="164" t="s">
        <v>115</v>
      </c>
      <c r="AB204" s="164" t="s">
        <v>115</v>
      </c>
    </row>
    <row r="205" spans="1:28" ht="135">
      <c r="A205" s="169">
        <f t="shared" si="16"/>
        <v>188</v>
      </c>
      <c r="B205" s="176" t="s">
        <v>443</v>
      </c>
      <c r="C205" s="170" t="s">
        <v>3150</v>
      </c>
      <c r="D205" s="170" t="str">
        <f>VLOOKUP(B205,'HECVAT - Full | Vendor Response'!A$4:D$320,4,TRUE)</f>
        <v>Weave carries cyberinsurance.</v>
      </c>
      <c r="E205" s="265" t="s">
        <v>3151</v>
      </c>
      <c r="F205" s="165"/>
      <c r="G205" s="165"/>
      <c r="H205" s="177" t="s">
        <v>3152</v>
      </c>
      <c r="I205" s="177" t="s">
        <v>3153</v>
      </c>
      <c r="J205" s="266" t="str">
        <f t="shared" si="19"/>
        <v>FALSE</v>
      </c>
      <c r="K205" s="173">
        <v>1</v>
      </c>
      <c r="L205" s="266" t="s">
        <v>442</v>
      </c>
      <c r="M205" s="267" t="s">
        <v>102</v>
      </c>
      <c r="N205" s="267" t="str">
        <f>VLOOKUP(B205,'HECVAT - Full | Vendor Response'!A:E,3,FALSE)</f>
        <v>Yes</v>
      </c>
      <c r="O205" s="267" t="str">
        <f>IF(LEN(VLOOKUP(B205,'Analyst Report'!$A:$I,7,FALSE))= 0,"",VLOOKUP(B205,'Analyst Report'!$A:$I,7,FALSE))</f>
        <v/>
      </c>
      <c r="P205" s="267">
        <f t="shared" si="20"/>
        <v>1</v>
      </c>
      <c r="Q205" s="267">
        <v>10</v>
      </c>
      <c r="R205" s="267">
        <f>IF(LEN(VLOOKUP(B205,'Analyst Report'!$A$31:$I$288,9,FALSE))=0,VLOOKUP(B205,'Analyst Report'!$A$31:$I$288,8,FALSE),VLOOKUP(B205,'Analyst Report'!$A$31:$I$288,9,FALSE))</f>
        <v>10</v>
      </c>
      <c r="S205" s="267">
        <f t="shared" si="17"/>
        <v>10</v>
      </c>
      <c r="T205" s="267">
        <f t="shared" si="21"/>
        <v>10</v>
      </c>
      <c r="U205" s="164" t="s">
        <v>115</v>
      </c>
      <c r="V205" s="164" t="s">
        <v>115</v>
      </c>
      <c r="W205" s="164" t="s">
        <v>115</v>
      </c>
      <c r="X205" s="164" t="s">
        <v>115</v>
      </c>
      <c r="Y205" s="164" t="s">
        <v>115</v>
      </c>
      <c r="Z205" s="164" t="s">
        <v>115</v>
      </c>
      <c r="AA205" s="164" t="s">
        <v>115</v>
      </c>
      <c r="AB205" s="164" t="s">
        <v>115</v>
      </c>
    </row>
    <row r="206" spans="1:28" ht="60">
      <c r="A206" s="169">
        <f t="shared" si="16"/>
        <v>189</v>
      </c>
      <c r="B206" s="176" t="s">
        <v>445</v>
      </c>
      <c r="C206" s="170" t="s">
        <v>3154</v>
      </c>
      <c r="D206" s="170" t="str">
        <f>VLOOKUP(B206,'HECVAT - Full | Vendor Response'!A$4:D$320,4,TRUE)</f>
        <v>Weave partially inherits from AWS, but is not working toward certiifcation at this time.</v>
      </c>
      <c r="E206" s="265" t="s">
        <v>115</v>
      </c>
      <c r="F206" s="265" t="s">
        <v>3155</v>
      </c>
      <c r="G206" s="265" t="s">
        <v>3156</v>
      </c>
      <c r="H206" s="175" t="s">
        <v>3157</v>
      </c>
      <c r="I206" s="175" t="s">
        <v>3158</v>
      </c>
      <c r="J206" s="266" t="str">
        <f t="shared" si="19"/>
        <v>FALSE</v>
      </c>
      <c r="K206" s="173">
        <v>1</v>
      </c>
      <c r="L206" s="266" t="s">
        <v>442</v>
      </c>
      <c r="M206" s="267" t="s">
        <v>102</v>
      </c>
      <c r="N206" s="267" t="str">
        <f>VLOOKUP(B206,'HECVAT - Full | Vendor Response'!A:E,3,FALSE)</f>
        <v>No</v>
      </c>
      <c r="O206" s="267" t="str">
        <f>IF(LEN(VLOOKUP(B206,'Analyst Report'!$A:$I,7,FALSE))= 0,"",VLOOKUP(B206,'Analyst Report'!$A:$I,7,FALSE))</f>
        <v/>
      </c>
      <c r="P206" s="267">
        <f t="shared" si="20"/>
        <v>0</v>
      </c>
      <c r="Q206" s="267">
        <v>15</v>
      </c>
      <c r="R206" s="267">
        <f>IF(LEN(VLOOKUP(B206,'Analyst Report'!$A$31:$I$288,9,FALSE))=0,VLOOKUP(B206,'Analyst Report'!$A$31:$I$288,8,FALSE),VLOOKUP(B206,'Analyst Report'!$A$31:$I$288,9,FALSE))</f>
        <v>15</v>
      </c>
      <c r="S206" s="267">
        <f t="shared" si="17"/>
        <v>15</v>
      </c>
      <c r="T206" s="267">
        <f t="shared" si="21"/>
        <v>0</v>
      </c>
      <c r="U206" s="164" t="s">
        <v>115</v>
      </c>
      <c r="V206" s="164" t="s">
        <v>115</v>
      </c>
      <c r="W206" s="164" t="s">
        <v>115</v>
      </c>
      <c r="X206" s="164" t="s">
        <v>115</v>
      </c>
      <c r="Y206" s="164" t="s">
        <v>115</v>
      </c>
      <c r="Z206" s="164" t="s">
        <v>115</v>
      </c>
      <c r="AA206" s="164" t="s">
        <v>115</v>
      </c>
      <c r="AB206" s="164" t="s">
        <v>115</v>
      </c>
    </row>
    <row r="207" spans="1:28" ht="135">
      <c r="A207" s="169">
        <f t="shared" si="16"/>
        <v>190</v>
      </c>
      <c r="B207" s="176" t="s">
        <v>447</v>
      </c>
      <c r="C207" s="170" t="s">
        <v>3159</v>
      </c>
      <c r="D207" s="170" t="str">
        <f>VLOOKUP(B207,'HECVAT - Full | Vendor Response'!A$4:D$320,4,TRUE)</f>
        <v xml:space="preserve">As part of its contract, Weave provides a Service-Level Agreement of uptime. </v>
      </c>
      <c r="E207" s="265" t="s">
        <v>115</v>
      </c>
      <c r="F207" s="265" t="s">
        <v>3160</v>
      </c>
      <c r="G207" s="265" t="s">
        <v>3161</v>
      </c>
      <c r="H207" s="175" t="s">
        <v>3162</v>
      </c>
      <c r="I207" s="175" t="s">
        <v>3163</v>
      </c>
      <c r="J207" s="266" t="str">
        <f t="shared" si="19"/>
        <v>FALSE</v>
      </c>
      <c r="K207" s="173">
        <v>1</v>
      </c>
      <c r="L207" s="266" t="s">
        <v>442</v>
      </c>
      <c r="M207" s="267" t="s">
        <v>102</v>
      </c>
      <c r="N207" s="267" t="str">
        <f>VLOOKUP(B207,'HECVAT - Full | Vendor Response'!A:E,3,FALSE)</f>
        <v>Yes</v>
      </c>
      <c r="O207" s="267" t="str">
        <f>IF(LEN(VLOOKUP(B207,'Analyst Report'!$A:$I,7,FALSE))= 0,"",VLOOKUP(B207,'Analyst Report'!$A:$I,7,FALSE))</f>
        <v/>
      </c>
      <c r="P207" s="267">
        <f t="shared" si="20"/>
        <v>1</v>
      </c>
      <c r="Q207" s="267">
        <v>20</v>
      </c>
      <c r="R207" s="267">
        <f>IF(LEN(VLOOKUP(B207,'Analyst Report'!$A$31:$I$288,9,FALSE))=0,VLOOKUP(B207,'Analyst Report'!$A$31:$I$288,8,FALSE),VLOOKUP(B207,'Analyst Report'!$A$31:$I$288,9,FALSE))</f>
        <v>20</v>
      </c>
      <c r="S207" s="267">
        <f t="shared" si="17"/>
        <v>20</v>
      </c>
      <c r="T207" s="267">
        <f t="shared" si="21"/>
        <v>20</v>
      </c>
      <c r="U207" s="164" t="s">
        <v>115</v>
      </c>
      <c r="V207" s="164" t="s">
        <v>115</v>
      </c>
      <c r="W207" s="164" t="s">
        <v>115</v>
      </c>
      <c r="X207" s="164" t="s">
        <v>115</v>
      </c>
      <c r="Y207" s="164" t="s">
        <v>115</v>
      </c>
      <c r="Z207" s="164" t="s">
        <v>115</v>
      </c>
      <c r="AA207" s="164" t="s">
        <v>115</v>
      </c>
      <c r="AB207" s="164" t="s">
        <v>115</v>
      </c>
    </row>
    <row r="208" spans="1:28" ht="225">
      <c r="A208" s="169">
        <f t="shared" si="16"/>
        <v>191</v>
      </c>
      <c r="B208" s="176" t="s">
        <v>449</v>
      </c>
      <c r="C208" s="170" t="s">
        <v>3164</v>
      </c>
      <c r="D208" s="170" t="str">
        <f>VLOOKUP(B208,'HECVAT - Full | Vendor Response'!A$4:D$320,4,TRUE)</f>
        <v>Weave consistently takes in customer feedback and incorporates them into new features. Any feedback can be provided at any time in the platform or via a support request.</v>
      </c>
      <c r="E208" s="265" t="s">
        <v>115</v>
      </c>
      <c r="F208" s="265"/>
      <c r="G208" s="265" t="s">
        <v>3165</v>
      </c>
      <c r="H208" s="175" t="s">
        <v>3166</v>
      </c>
      <c r="I208" s="175" t="s">
        <v>3167</v>
      </c>
      <c r="J208" s="266" t="str">
        <f t="shared" si="19"/>
        <v>TRUE</v>
      </c>
      <c r="K208" s="173">
        <v>1</v>
      </c>
      <c r="L208" s="266" t="s">
        <v>442</v>
      </c>
      <c r="M208" s="267" t="s">
        <v>102</v>
      </c>
      <c r="N208" s="267" t="str">
        <f>VLOOKUP(B208,'HECVAT - Full | Vendor Response'!A:E,3,FALSE)</f>
        <v>Yes</v>
      </c>
      <c r="O208" s="267" t="str">
        <f>IF(LEN(VLOOKUP(B208,'Analyst Report'!$A:$I,7,FALSE))= 0,"",VLOOKUP(B208,'Analyst Report'!$A:$I,7,FALSE))</f>
        <v/>
      </c>
      <c r="P208" s="267">
        <f t="shared" si="20"/>
        <v>1</v>
      </c>
      <c r="Q208" s="267">
        <v>25</v>
      </c>
      <c r="R208" s="267">
        <f>IF(LEN(VLOOKUP(B208,'Analyst Report'!$A$31:$I$288,9,FALSE))=0,VLOOKUP(B208,'Analyst Report'!$A$31:$I$288,8,FALSE),VLOOKUP(B208,'Analyst Report'!$A$31:$I$288,9,FALSE))</f>
        <v>25</v>
      </c>
      <c r="S208" s="267">
        <f t="shared" si="17"/>
        <v>25</v>
      </c>
      <c r="T208" s="267">
        <f t="shared" si="21"/>
        <v>25</v>
      </c>
      <c r="U208" s="164" t="s">
        <v>115</v>
      </c>
      <c r="V208" s="164" t="s">
        <v>115</v>
      </c>
      <c r="W208" s="164" t="s">
        <v>115</v>
      </c>
      <c r="X208" s="164" t="s">
        <v>115</v>
      </c>
      <c r="Y208" s="164" t="s">
        <v>115</v>
      </c>
      <c r="Z208" s="164" t="s">
        <v>115</v>
      </c>
      <c r="AA208" s="164" t="s">
        <v>115</v>
      </c>
      <c r="AB208" s="164" t="s">
        <v>115</v>
      </c>
    </row>
    <row r="209" spans="1:28" ht="75">
      <c r="A209" s="169">
        <f t="shared" si="16"/>
        <v>192</v>
      </c>
      <c r="B209" s="176" t="s">
        <v>451</v>
      </c>
      <c r="C209" s="170" t="s">
        <v>3168</v>
      </c>
      <c r="D209" s="170" t="str">
        <f>VLOOKUP(B209,'HECVAT - Full | Vendor Response'!A$4:D$320,4,TRUE)</f>
        <v>Upon request, an institution can access a demo account.</v>
      </c>
      <c r="E209" s="265" t="s">
        <v>115</v>
      </c>
      <c r="F209" s="265" t="s">
        <v>3169</v>
      </c>
      <c r="G209" s="265" t="s">
        <v>3170</v>
      </c>
      <c r="H209" s="175" t="s">
        <v>3171</v>
      </c>
      <c r="I209" s="175" t="s">
        <v>3172</v>
      </c>
      <c r="J209" s="266" t="str">
        <f t="shared" si="19"/>
        <v>FALSE</v>
      </c>
      <c r="K209" s="173">
        <v>1</v>
      </c>
      <c r="L209" s="266" t="s">
        <v>442</v>
      </c>
      <c r="M209" s="267" t="s">
        <v>102</v>
      </c>
      <c r="N209" s="267" t="str">
        <f>VLOOKUP(B209,'HECVAT - Full | Vendor Response'!A:E,3,FALSE)</f>
        <v>Yes</v>
      </c>
      <c r="O209" s="267" t="str">
        <f>IF(LEN(VLOOKUP(B209,'Analyst Report'!$A:$I,7,FALSE))= 0,"",VLOOKUP(B209,'Analyst Report'!$A:$I,7,FALSE))</f>
        <v/>
      </c>
      <c r="P209" s="267">
        <f t="shared" si="20"/>
        <v>1</v>
      </c>
      <c r="Q209" s="267">
        <v>20</v>
      </c>
      <c r="R209" s="267">
        <f>IF(LEN(VLOOKUP(B209,'Analyst Report'!$A$31:$I$288,9,FALSE))=0,VLOOKUP(B209,'Analyst Report'!$A$31:$I$288,8,FALSE),VLOOKUP(B209,'Analyst Report'!$A$31:$I$288,9,FALSE))</f>
        <v>20</v>
      </c>
      <c r="S209" s="267">
        <f t="shared" si="17"/>
        <v>20</v>
      </c>
      <c r="T209" s="267">
        <f t="shared" si="21"/>
        <v>20</v>
      </c>
      <c r="U209" s="164" t="s">
        <v>115</v>
      </c>
      <c r="V209" s="164" t="s">
        <v>115</v>
      </c>
      <c r="W209" s="164" t="s">
        <v>115</v>
      </c>
      <c r="X209" s="164" t="s">
        <v>115</v>
      </c>
      <c r="Y209" s="164" t="s">
        <v>115</v>
      </c>
      <c r="Z209" s="164" t="s">
        <v>115</v>
      </c>
      <c r="AA209" s="164" t="s">
        <v>115</v>
      </c>
      <c r="AB209" s="164" t="s">
        <v>115</v>
      </c>
    </row>
    <row r="210" spans="1:28" ht="225">
      <c r="A210" s="169">
        <f t="shared" si="16"/>
        <v>193</v>
      </c>
      <c r="B210" s="170" t="s">
        <v>454</v>
      </c>
      <c r="C210" s="170" t="s">
        <v>3173</v>
      </c>
      <c r="D210" s="170" t="str">
        <f>VLOOKUP(B210,'HECVAT - Full | Vendor Response'!A$4:D$320,4,TRUE)</f>
        <v>Weave uses AWS Inspector to continuously scan for vulnerabilites to remediate.</v>
      </c>
      <c r="E210" s="265" t="s">
        <v>115</v>
      </c>
      <c r="F210" s="265" t="s">
        <v>3174</v>
      </c>
      <c r="G210" s="265" t="s">
        <v>3175</v>
      </c>
      <c r="H210" s="175" t="s">
        <v>3176</v>
      </c>
      <c r="I210" s="175" t="s">
        <v>3177</v>
      </c>
      <c r="J210" s="266" t="str">
        <f t="shared" si="19"/>
        <v>FALSE</v>
      </c>
      <c r="K210" s="173">
        <v>1</v>
      </c>
      <c r="L210" s="266" t="s">
        <v>453</v>
      </c>
      <c r="M210" s="267" t="s">
        <v>102</v>
      </c>
      <c r="N210" s="267" t="str">
        <f>VLOOKUP(B210,'HECVAT - Full | Vendor Response'!A:E,3,FALSE)</f>
        <v>Yes</v>
      </c>
      <c r="O210" s="267" t="str">
        <f>IF(LEN(VLOOKUP(B210,'Analyst Report'!$A:$I,7,FALSE))= 0,"",VLOOKUP(B210,'Analyst Report'!$A:$I,7,FALSE))</f>
        <v/>
      </c>
      <c r="P210" s="267">
        <f t="shared" si="20"/>
        <v>1</v>
      </c>
      <c r="Q210" s="267">
        <v>15</v>
      </c>
      <c r="R210" s="267">
        <f>IF(LEN(VLOOKUP(B210,'Analyst Report'!$A$31:$I$288,9,FALSE))=0,VLOOKUP(B210,'Analyst Report'!$A$31:$I$288,8,FALSE),VLOOKUP(B210,'Analyst Report'!$A$31:$I$288,9,FALSE))</f>
        <v>15</v>
      </c>
      <c r="S210" s="267">
        <f t="shared" si="17"/>
        <v>15</v>
      </c>
      <c r="T210" s="267">
        <f t="shared" si="21"/>
        <v>15</v>
      </c>
      <c r="U210" s="164" t="s">
        <v>115</v>
      </c>
      <c r="V210" s="164" t="s">
        <v>115</v>
      </c>
      <c r="W210" s="164" t="s">
        <v>115</v>
      </c>
      <c r="X210" s="164" t="s">
        <v>115</v>
      </c>
      <c r="Y210" s="164" t="s">
        <v>115</v>
      </c>
      <c r="Z210" s="164" t="s">
        <v>115</v>
      </c>
      <c r="AA210" s="164" t="s">
        <v>115</v>
      </c>
      <c r="AB210" s="164" t="s">
        <v>115</v>
      </c>
    </row>
    <row r="211" spans="1:28" ht="240">
      <c r="A211" s="169">
        <f t="shared" si="16"/>
        <v>194</v>
      </c>
      <c r="B211" s="170" t="s">
        <v>456</v>
      </c>
      <c r="C211" s="170" t="s">
        <v>3178</v>
      </c>
      <c r="D211" s="170" t="str">
        <f>VLOOKUP(B211,'HECVAT - Full | Vendor Response'!A$4:D$320,4,TRUE)</f>
        <v>Weave will have a penetration test completed in Q4 of 2025</v>
      </c>
      <c r="E211" s="265" t="s">
        <v>115</v>
      </c>
      <c r="F211" s="265" t="s">
        <v>3179</v>
      </c>
      <c r="G211" s="265" t="s">
        <v>3180</v>
      </c>
      <c r="H211" s="175" t="s">
        <v>3181</v>
      </c>
      <c r="I211" s="175" t="s">
        <v>3182</v>
      </c>
      <c r="J211" s="266" t="str">
        <f t="shared" si="19"/>
        <v>FALSE</v>
      </c>
      <c r="K211" s="173">
        <f>IF(N210="Yes",1,0)</f>
        <v>1</v>
      </c>
      <c r="L211" s="266" t="s">
        <v>453</v>
      </c>
      <c r="M211" s="267" t="s">
        <v>102</v>
      </c>
      <c r="N211" s="267" t="str">
        <f>VLOOKUP(B211,'HECVAT - Full | Vendor Response'!A:E,3,FALSE)</f>
        <v>No</v>
      </c>
      <c r="O211" s="267" t="str">
        <f>IF(LEN(VLOOKUP(B211,'Analyst Report'!$A:$I,7,FALSE))= 0,"",VLOOKUP(B211,'Analyst Report'!$A:$I,7,FALSE))</f>
        <v/>
      </c>
      <c r="P211" s="267">
        <f t="shared" si="20"/>
        <v>0</v>
      </c>
      <c r="Q211" s="267">
        <v>20</v>
      </c>
      <c r="R211" s="267">
        <f>IF(LEN(VLOOKUP(B211,'Analyst Report'!$A$31:$I$288,9,FALSE))=0,VLOOKUP(B211,'Analyst Report'!$A$31:$I$288,8,FALSE),VLOOKUP(B211,'Analyst Report'!$A$31:$I$288,9,FALSE))</f>
        <v>20</v>
      </c>
      <c r="S211" s="267">
        <f t="shared" si="17"/>
        <v>20</v>
      </c>
      <c r="T211" s="267">
        <f t="shared" si="21"/>
        <v>0</v>
      </c>
      <c r="U211" s="164" t="s">
        <v>115</v>
      </c>
      <c r="V211" s="164" t="s">
        <v>115</v>
      </c>
      <c r="W211" s="164" t="s">
        <v>115</v>
      </c>
      <c r="X211" s="164" t="s">
        <v>115</v>
      </c>
      <c r="Y211" s="164" t="s">
        <v>115</v>
      </c>
      <c r="Z211" s="164" t="s">
        <v>115</v>
      </c>
      <c r="AA211" s="164" t="s">
        <v>115</v>
      </c>
      <c r="AB211" s="164" t="s">
        <v>115</v>
      </c>
    </row>
    <row r="212" spans="1:28" ht="180">
      <c r="A212" s="169">
        <f t="shared" si="16"/>
        <v>195</v>
      </c>
      <c r="B212" s="170" t="s">
        <v>458</v>
      </c>
      <c r="C212" s="170" t="s">
        <v>3183</v>
      </c>
      <c r="D212" s="170" t="str">
        <f>VLOOKUP(B212,'HECVAT - Full | Vendor Response'!A$4:D$320,4,TRUE)</f>
        <v>AWS Inspector scans Weave's staging server as well as it's production server, so items are remediated prior to release to production.</v>
      </c>
      <c r="E212" s="265" t="s">
        <v>115</v>
      </c>
      <c r="F212" s="265" t="s">
        <v>3184</v>
      </c>
      <c r="G212" s="265" t="s">
        <v>3185</v>
      </c>
      <c r="H212" s="175" t="s">
        <v>3186</v>
      </c>
      <c r="I212" s="175" t="s">
        <v>3187</v>
      </c>
      <c r="J212" s="266" t="str">
        <f t="shared" si="19"/>
        <v>TRUE</v>
      </c>
      <c r="K212" s="173">
        <v>1</v>
      </c>
      <c r="L212" s="266" t="s">
        <v>453</v>
      </c>
      <c r="M212" s="267" t="s">
        <v>102</v>
      </c>
      <c r="N212" s="267" t="str">
        <f>VLOOKUP(B212,'HECVAT - Full | Vendor Response'!A:E,3,FALSE)</f>
        <v>Yes</v>
      </c>
      <c r="O212" s="267" t="str">
        <f>IF(LEN(VLOOKUP(B212,'Analyst Report'!$A:$I,7,FALSE))= 0,"",VLOOKUP(B212,'Analyst Report'!$A:$I,7,FALSE))</f>
        <v/>
      </c>
      <c r="P212" s="267">
        <f t="shared" si="20"/>
        <v>1</v>
      </c>
      <c r="Q212" s="267">
        <v>25</v>
      </c>
      <c r="R212" s="267">
        <f>IF(LEN(VLOOKUP(B212,'Analyst Report'!$A$31:$I$288,9,FALSE))=0,VLOOKUP(B212,'Analyst Report'!$A$31:$I$288,8,FALSE),VLOOKUP(B212,'Analyst Report'!$A$31:$I$288,9,FALSE))</f>
        <v>25</v>
      </c>
      <c r="S212" s="267">
        <f t="shared" ref="S212:S256" si="22">(IF((ISNUMBER(R212)),R212,Q212))*K212</f>
        <v>25</v>
      </c>
      <c r="T212" s="267">
        <f t="shared" si="21"/>
        <v>25</v>
      </c>
      <c r="U212" s="164" t="s">
        <v>115</v>
      </c>
      <c r="V212" s="164" t="s">
        <v>115</v>
      </c>
      <c r="W212" s="164" t="s">
        <v>115</v>
      </c>
      <c r="X212" s="164" t="s">
        <v>115</v>
      </c>
      <c r="Y212" s="164" t="s">
        <v>115</v>
      </c>
      <c r="Z212" s="164" t="s">
        <v>115</v>
      </c>
      <c r="AA212" s="164" t="s">
        <v>115</v>
      </c>
      <c r="AB212" s="164" t="s">
        <v>115</v>
      </c>
    </row>
    <row r="213" spans="1:28" ht="120">
      <c r="A213" s="169">
        <f t="shared" si="16"/>
        <v>196</v>
      </c>
      <c r="B213" s="170" t="s">
        <v>460</v>
      </c>
      <c r="C213" s="170" t="s">
        <v>3188</v>
      </c>
      <c r="D213" s="170" t="str">
        <f>VLOOKUP(B213,'HECVAT - Full | Vendor Response'!A$4:D$320,4,TRUE)</f>
        <v>Weave will provide results of application and system vulnerability scans to TX-RAMP as part of its quarterly submission. Texas customers can request access via the TX-RAMP portal.</v>
      </c>
      <c r="E213" s="265" t="s">
        <v>115</v>
      </c>
      <c r="F213" s="265" t="s">
        <v>3189</v>
      </c>
      <c r="G213" s="265" t="s">
        <v>3190</v>
      </c>
      <c r="H213" s="175" t="s">
        <v>3191</v>
      </c>
      <c r="I213" s="175" t="s">
        <v>3192</v>
      </c>
      <c r="J213" s="266" t="str">
        <f t="shared" si="19"/>
        <v>TRUE</v>
      </c>
      <c r="K213" s="173">
        <v>1</v>
      </c>
      <c r="L213" s="266" t="s">
        <v>453</v>
      </c>
      <c r="M213" s="267" t="s">
        <v>102</v>
      </c>
      <c r="N213" s="267" t="str">
        <f>VLOOKUP(B213,'HECVAT - Full | Vendor Response'!A:E,3,FALSE)</f>
        <v>No</v>
      </c>
      <c r="O213" s="267" t="str">
        <f>IF(LEN(VLOOKUP(B213,'Analyst Report'!$A:$I,7,FALSE))= 0,"",VLOOKUP(B213,'Analyst Report'!$A:$I,7,FALSE))</f>
        <v/>
      </c>
      <c r="P213" s="267">
        <f t="shared" si="20"/>
        <v>0</v>
      </c>
      <c r="Q213" s="267">
        <v>25</v>
      </c>
      <c r="R213" s="267">
        <f>IF(LEN(VLOOKUP(B213,'Analyst Report'!$A$31:$I$288,9,FALSE))=0,VLOOKUP(B213,'Analyst Report'!$A$31:$I$288,8,FALSE),VLOOKUP(B213,'Analyst Report'!$A$31:$I$288,9,FALSE))</f>
        <v>25</v>
      </c>
      <c r="S213" s="267">
        <f t="shared" si="22"/>
        <v>25</v>
      </c>
      <c r="T213" s="267">
        <f t="shared" si="21"/>
        <v>0</v>
      </c>
      <c r="U213" s="164" t="s">
        <v>115</v>
      </c>
      <c r="V213" s="164" t="s">
        <v>115</v>
      </c>
      <c r="W213" s="164" t="s">
        <v>115</v>
      </c>
      <c r="X213" s="164" t="s">
        <v>115</v>
      </c>
      <c r="Y213" s="164" t="s">
        <v>115</v>
      </c>
      <c r="Z213" s="164" t="s">
        <v>115</v>
      </c>
      <c r="AA213" s="164" t="s">
        <v>115</v>
      </c>
      <c r="AB213" s="164" t="s">
        <v>115</v>
      </c>
    </row>
    <row r="214" spans="1:28" ht="342">
      <c r="A214" s="169">
        <f t="shared" si="16"/>
        <v>197</v>
      </c>
      <c r="B214" s="170" t="s">
        <v>462</v>
      </c>
      <c r="C214" s="170" t="s">
        <v>3193</v>
      </c>
      <c r="D214" s="170">
        <f>VLOOKUP(B214,'HECVAT - Full | Vendor Response'!A$4:D$320,4,TRUE)</f>
        <v>0</v>
      </c>
      <c r="E214" s="265" t="s">
        <v>3194</v>
      </c>
      <c r="F214" s="265"/>
      <c r="G214" s="265"/>
      <c r="H214" s="175" t="s">
        <v>3195</v>
      </c>
      <c r="I214" s="175" t="s">
        <v>3196</v>
      </c>
      <c r="J214" s="266" t="str">
        <f t="shared" si="19"/>
        <v>FALSE</v>
      </c>
      <c r="K214" s="173">
        <v>1</v>
      </c>
      <c r="L214" s="266" t="s">
        <v>453</v>
      </c>
      <c r="M214" s="267" t="s">
        <v>102</v>
      </c>
      <c r="N214" s="267" t="str">
        <f>VLOOKUP(B214,'HECVAT - Full | Vendor Response'!A:E,3,FALSE)</f>
        <v>AWS inspector monitors for common web application security vulnerabilities such as SQL injection, XSS, XSRF, and more. Critical and High vulnerabilities are remediated within 30 days, medium and low vulnerabilites are remediated within 180 days.</v>
      </c>
      <c r="O214" s="267" t="str">
        <f>IF(LEN(VLOOKUP(B214,'Analyst Report'!$A:$I,7,FALSE))= 0,"",VLOOKUP(B214,'Analyst Report'!$A:$I,7,FALSE))</f>
        <v/>
      </c>
      <c r="P214" s="267">
        <f t="shared" si="20"/>
        <v>0</v>
      </c>
      <c r="Q214" s="267">
        <v>20</v>
      </c>
      <c r="R214" s="267">
        <f>IF(LEN(VLOOKUP(B214,'Analyst Report'!$A$31:$I$288,9,FALSE))=0,VLOOKUP(B214,'Analyst Report'!$A$31:$I$288,8,FALSE),VLOOKUP(B214,'Analyst Report'!$A$31:$I$288,9,FALSE))</f>
        <v>20</v>
      </c>
      <c r="S214" s="267">
        <f t="shared" si="22"/>
        <v>20</v>
      </c>
      <c r="T214" s="267">
        <f t="shared" si="21"/>
        <v>0</v>
      </c>
      <c r="U214" s="164" t="s">
        <v>115</v>
      </c>
      <c r="V214" s="164" t="s">
        <v>115</v>
      </c>
      <c r="W214" s="164" t="s">
        <v>115</v>
      </c>
      <c r="X214" s="164" t="s">
        <v>115</v>
      </c>
      <c r="Y214" s="164" t="s">
        <v>115</v>
      </c>
      <c r="Z214" s="164" t="s">
        <v>115</v>
      </c>
      <c r="AA214" s="164" t="s">
        <v>115</v>
      </c>
      <c r="AB214" s="164" t="s">
        <v>115</v>
      </c>
    </row>
    <row r="215" spans="1:28" ht="150">
      <c r="A215" s="169">
        <f t="shared" ref="A215:A256" si="23">A214+1</f>
        <v>198</v>
      </c>
      <c r="B215" s="170" t="s">
        <v>464</v>
      </c>
      <c r="C215" s="170" t="s">
        <v>3197</v>
      </c>
      <c r="D215" s="170" t="str">
        <f>VLOOKUP(B215,'HECVAT - Full | Vendor Response'!A$4:D$320,4,TRUE)</f>
        <v>Weave will provide scans and data upon request</v>
      </c>
      <c r="E215" s="265" t="s">
        <v>115</v>
      </c>
      <c r="F215" s="265" t="s">
        <v>3198</v>
      </c>
      <c r="G215" s="265" t="s">
        <v>3199</v>
      </c>
      <c r="H215" s="175" t="s">
        <v>3200</v>
      </c>
      <c r="I215" s="175" t="s">
        <v>3201</v>
      </c>
      <c r="J215" s="266" t="str">
        <f t="shared" si="19"/>
        <v>TRUE</v>
      </c>
      <c r="K215" s="173">
        <v>1</v>
      </c>
      <c r="L215" s="266" t="s">
        <v>453</v>
      </c>
      <c r="M215" s="267" t="s">
        <v>102</v>
      </c>
      <c r="N215" s="267" t="str">
        <f>VLOOKUP(B215,'HECVAT - Full | Vendor Response'!A:E,3,FALSE)</f>
        <v>No</v>
      </c>
      <c r="O215" s="267" t="str">
        <f>IF(LEN(VLOOKUP(B215,'Analyst Report'!$A:$I,7,FALSE))= 0,"",VLOOKUP(B215,'Analyst Report'!$A:$I,7,FALSE))</f>
        <v/>
      </c>
      <c r="P215" s="267">
        <f t="shared" si="20"/>
        <v>0</v>
      </c>
      <c r="Q215" s="267">
        <v>25</v>
      </c>
      <c r="R215" s="267">
        <f>IF(LEN(VLOOKUP(B215,'Analyst Report'!$A$31:$I$288,9,FALSE))=0,VLOOKUP(B215,'Analyst Report'!$A$31:$I$288,8,FALSE),VLOOKUP(B215,'Analyst Report'!$A$31:$I$288,9,FALSE))</f>
        <v>25</v>
      </c>
      <c r="S215" s="267">
        <f t="shared" si="22"/>
        <v>25</v>
      </c>
      <c r="T215" s="267">
        <f t="shared" si="21"/>
        <v>0</v>
      </c>
      <c r="U215" s="164" t="s">
        <v>115</v>
      </c>
      <c r="V215" s="164" t="s">
        <v>115</v>
      </c>
      <c r="W215" s="164" t="s">
        <v>115</v>
      </c>
      <c r="X215" s="164" t="s">
        <v>115</v>
      </c>
      <c r="Y215" s="164" t="s">
        <v>115</v>
      </c>
      <c r="Z215" s="164" t="s">
        <v>115</v>
      </c>
      <c r="AA215" s="164" t="s">
        <v>115</v>
      </c>
      <c r="AB215" s="164" t="s">
        <v>115</v>
      </c>
    </row>
    <row r="216" spans="1:28" ht="60">
      <c r="A216" s="169">
        <f t="shared" si="23"/>
        <v>199</v>
      </c>
      <c r="B216" s="170" t="s">
        <v>466</v>
      </c>
      <c r="C216" s="170" t="s">
        <v>3202</v>
      </c>
      <c r="D216" s="170" t="str">
        <f>VLOOKUP(B216,'HECVAT - Full | Vendor Response'!A$4:D$320,4,TRUE)</f>
        <v>Weave saves all audit logs in AWS cloudwatch</v>
      </c>
      <c r="E216" s="265" t="s">
        <v>467</v>
      </c>
      <c r="F216" s="265"/>
      <c r="G216" s="265"/>
      <c r="H216" s="175" t="s">
        <v>2321</v>
      </c>
      <c r="I216" s="175" t="s">
        <v>3203</v>
      </c>
      <c r="J216" s="266" t="str">
        <f t="shared" si="19"/>
        <v>FALSE</v>
      </c>
      <c r="K216" s="173">
        <f>IF(N$18="Yes",1,0)</f>
        <v>0</v>
      </c>
      <c r="L216" s="266" t="s">
        <v>2321</v>
      </c>
      <c r="M216" s="267" t="s">
        <v>102</v>
      </c>
      <c r="N216" s="267">
        <f>VLOOKUP(B216,'HECVAT - Full | Vendor Response'!A:E,3,FALSE)</f>
        <v>0</v>
      </c>
      <c r="O216" s="267" t="str">
        <f>IF(LEN(VLOOKUP(B216,'Analyst Report'!$A:$I,7,FALSE))= 0,"",VLOOKUP(B216,'Analyst Report'!$A:$I,7,FALSE))</f>
        <v/>
      </c>
      <c r="P216" s="267">
        <f t="shared" si="20"/>
        <v>0</v>
      </c>
      <c r="Q216" s="267">
        <v>25</v>
      </c>
      <c r="R216" s="267">
        <f>IF(LEN(VLOOKUP(B216,'Analyst Report'!$A$31:$I$288,9,FALSE))=0,VLOOKUP(B216,'Analyst Report'!$A$31:$I$288,8,FALSE),VLOOKUP(B216,'Analyst Report'!$A$31:$I$288,9,FALSE))</f>
        <v>25</v>
      </c>
      <c r="S216" s="267">
        <f t="shared" si="22"/>
        <v>0</v>
      </c>
      <c r="T216" s="267">
        <f t="shared" si="21"/>
        <v>0</v>
      </c>
      <c r="U216" s="164" t="s">
        <v>115</v>
      </c>
      <c r="V216" s="164" t="s">
        <v>115</v>
      </c>
      <c r="W216" s="164" t="s">
        <v>115</v>
      </c>
      <c r="X216" s="164" t="s">
        <v>115</v>
      </c>
      <c r="Y216" s="164" t="s">
        <v>115</v>
      </c>
      <c r="Z216" s="164" t="s">
        <v>115</v>
      </c>
      <c r="AA216" s="164" t="s">
        <v>115</v>
      </c>
      <c r="AB216" s="164" t="s">
        <v>115</v>
      </c>
    </row>
    <row r="217" spans="1:28" ht="60">
      <c r="A217" s="169">
        <f t="shared" si="23"/>
        <v>200</v>
      </c>
      <c r="B217" s="170" t="s">
        <v>468</v>
      </c>
      <c r="C217" s="170" t="s">
        <v>3204</v>
      </c>
      <c r="D217" s="170" t="str">
        <f>VLOOKUP(B217,'HECVAT - Full | Vendor Response'!A$4:D$320,4,TRUE)</f>
        <v>Weave saves all audit logs in AWS cloudwatch</v>
      </c>
      <c r="E217" s="265" t="s">
        <v>467</v>
      </c>
      <c r="F217" s="265"/>
      <c r="G217" s="265"/>
      <c r="H217" s="175" t="s">
        <v>2321</v>
      </c>
      <c r="I217" s="175" t="s">
        <v>3203</v>
      </c>
      <c r="J217" s="266" t="str">
        <f t="shared" si="19"/>
        <v>FALSE</v>
      </c>
      <c r="K217" s="173">
        <f t="shared" ref="K217:K244" si="24">IF(N$18="Yes",1,0)</f>
        <v>0</v>
      </c>
      <c r="L217" s="266" t="s">
        <v>2321</v>
      </c>
      <c r="M217" s="267" t="s">
        <v>102</v>
      </c>
      <c r="N217" s="267">
        <f>VLOOKUP(B217,'HECVAT - Full | Vendor Response'!A:E,3,FALSE)</f>
        <v>0</v>
      </c>
      <c r="O217" s="267" t="str">
        <f>IF(LEN(VLOOKUP(B217,'Analyst Report'!$A:$I,7,FALSE))= 0,"",VLOOKUP(B217,'Analyst Report'!$A:$I,7,FALSE))</f>
        <v/>
      </c>
      <c r="P217" s="267">
        <f t="shared" si="20"/>
        <v>0</v>
      </c>
      <c r="Q217" s="267">
        <v>20</v>
      </c>
      <c r="R217" s="267">
        <f>IF(LEN(VLOOKUP(B217,'Analyst Report'!$A$31:$I$288,9,FALSE))=0,VLOOKUP(B217,'Analyst Report'!$A$31:$I$288,8,FALSE),VLOOKUP(B217,'Analyst Report'!$A$31:$I$288,9,FALSE))</f>
        <v>20</v>
      </c>
      <c r="S217" s="267">
        <f t="shared" si="22"/>
        <v>0</v>
      </c>
      <c r="T217" s="267">
        <f t="shared" si="21"/>
        <v>0</v>
      </c>
      <c r="U217" s="164" t="s">
        <v>115</v>
      </c>
      <c r="V217" s="164" t="s">
        <v>115</v>
      </c>
      <c r="W217" s="164" t="s">
        <v>115</v>
      </c>
      <c r="X217" s="164" t="s">
        <v>115</v>
      </c>
      <c r="Y217" s="164" t="s">
        <v>115</v>
      </c>
      <c r="Z217" s="164" t="s">
        <v>115</v>
      </c>
      <c r="AA217" s="164" t="s">
        <v>115</v>
      </c>
      <c r="AB217" s="164" t="s">
        <v>115</v>
      </c>
    </row>
    <row r="218" spans="1:28" ht="60">
      <c r="A218" s="169">
        <f t="shared" si="23"/>
        <v>201</v>
      </c>
      <c r="B218" s="170" t="s">
        <v>469</v>
      </c>
      <c r="C218" s="170" t="s">
        <v>3205</v>
      </c>
      <c r="D218" s="170" t="str">
        <f>VLOOKUP(B218,'HECVAT - Full | Vendor Response'!A$4:D$320,4,TRUE)</f>
        <v>Weave saves all audit logs in AWS cloudwatch</v>
      </c>
      <c r="E218" s="265" t="s">
        <v>467</v>
      </c>
      <c r="F218" s="265"/>
      <c r="G218" s="265"/>
      <c r="H218" s="175" t="s">
        <v>2321</v>
      </c>
      <c r="I218" s="175" t="s">
        <v>3203</v>
      </c>
      <c r="J218" s="266" t="str">
        <f t="shared" si="19"/>
        <v>FALSE</v>
      </c>
      <c r="K218" s="173">
        <f t="shared" si="24"/>
        <v>0</v>
      </c>
      <c r="L218" s="266" t="s">
        <v>2321</v>
      </c>
      <c r="M218" s="267" t="s">
        <v>102</v>
      </c>
      <c r="N218" s="267">
        <f>VLOOKUP(B218,'HECVAT - Full | Vendor Response'!A:E,3,FALSE)</f>
        <v>0</v>
      </c>
      <c r="O218" s="267" t="str">
        <f>IF(LEN(VLOOKUP(B218,'Analyst Report'!$A:$I,7,FALSE))= 0,"",VLOOKUP(B218,'Analyst Report'!$A:$I,7,FALSE))</f>
        <v/>
      </c>
      <c r="P218" s="267">
        <f t="shared" si="20"/>
        <v>0</v>
      </c>
      <c r="Q218" s="267">
        <v>20</v>
      </c>
      <c r="R218" s="267">
        <f>IF(LEN(VLOOKUP(B218,'Analyst Report'!$A$31:$I$288,9,FALSE))=0,VLOOKUP(B218,'Analyst Report'!$A$31:$I$288,8,FALSE),VLOOKUP(B218,'Analyst Report'!$A$31:$I$288,9,FALSE))</f>
        <v>20</v>
      </c>
      <c r="S218" s="267">
        <f t="shared" si="22"/>
        <v>0</v>
      </c>
      <c r="T218" s="267">
        <f t="shared" si="21"/>
        <v>0</v>
      </c>
      <c r="U218" s="164" t="s">
        <v>115</v>
      </c>
      <c r="V218" s="164" t="s">
        <v>115</v>
      </c>
      <c r="W218" s="164" t="s">
        <v>115</v>
      </c>
      <c r="X218" s="164" t="s">
        <v>115</v>
      </c>
      <c r="Y218" s="164" t="s">
        <v>115</v>
      </c>
      <c r="Z218" s="164" t="s">
        <v>115</v>
      </c>
      <c r="AA218" s="164" t="s">
        <v>115</v>
      </c>
      <c r="AB218" s="164" t="s">
        <v>115</v>
      </c>
    </row>
    <row r="219" spans="1:28" ht="60">
      <c r="A219" s="169">
        <f t="shared" si="23"/>
        <v>202</v>
      </c>
      <c r="B219" s="170" t="s">
        <v>470</v>
      </c>
      <c r="C219" s="170" t="s">
        <v>3206</v>
      </c>
      <c r="D219" s="170" t="str">
        <f>VLOOKUP(B219,'HECVAT - Full | Vendor Response'!A$4:D$320,4,TRUE)</f>
        <v>Weave saves all audit logs in AWS cloudwatch</v>
      </c>
      <c r="E219" s="265" t="s">
        <v>467</v>
      </c>
      <c r="F219" s="265"/>
      <c r="G219" s="265"/>
      <c r="H219" s="175" t="s">
        <v>2321</v>
      </c>
      <c r="I219" s="175" t="s">
        <v>3203</v>
      </c>
      <c r="J219" s="266" t="str">
        <f t="shared" si="19"/>
        <v>FALSE</v>
      </c>
      <c r="K219" s="173">
        <f t="shared" si="24"/>
        <v>0</v>
      </c>
      <c r="L219" s="266" t="s">
        <v>2321</v>
      </c>
      <c r="M219" s="267" t="s">
        <v>102</v>
      </c>
      <c r="N219" s="267">
        <f>VLOOKUP(B219,'HECVAT - Full | Vendor Response'!A:E,3,FALSE)</f>
        <v>0</v>
      </c>
      <c r="O219" s="267" t="str">
        <f>IF(LEN(VLOOKUP(B219,'Analyst Report'!$A:$I,7,FALSE))= 0,"",VLOOKUP(B219,'Analyst Report'!$A:$I,7,FALSE))</f>
        <v/>
      </c>
      <c r="P219" s="267">
        <f t="shared" si="20"/>
        <v>0</v>
      </c>
      <c r="Q219" s="267">
        <v>20</v>
      </c>
      <c r="R219" s="267">
        <f>IF(LEN(VLOOKUP(B219,'Analyst Report'!$A$31:$I$288,9,FALSE))=0,VLOOKUP(B219,'Analyst Report'!$A$31:$I$288,8,FALSE),VLOOKUP(B219,'Analyst Report'!$A$31:$I$288,9,FALSE))</f>
        <v>20</v>
      </c>
      <c r="S219" s="267">
        <f t="shared" si="22"/>
        <v>0</v>
      </c>
      <c r="T219" s="267">
        <f t="shared" si="21"/>
        <v>0</v>
      </c>
      <c r="U219" s="164" t="s">
        <v>115</v>
      </c>
      <c r="V219" s="164" t="s">
        <v>115</v>
      </c>
      <c r="W219" s="164" t="s">
        <v>115</v>
      </c>
      <c r="X219" s="164" t="s">
        <v>115</v>
      </c>
      <c r="Y219" s="164" t="s">
        <v>115</v>
      </c>
      <c r="Z219" s="164" t="s">
        <v>115</v>
      </c>
      <c r="AA219" s="164" t="s">
        <v>115</v>
      </c>
      <c r="AB219" s="164" t="s">
        <v>115</v>
      </c>
    </row>
    <row r="220" spans="1:28" ht="60">
      <c r="A220" s="169">
        <f t="shared" si="23"/>
        <v>203</v>
      </c>
      <c r="B220" s="170" t="s">
        <v>471</v>
      </c>
      <c r="C220" s="170" t="s">
        <v>3207</v>
      </c>
      <c r="D220" s="170" t="str">
        <f>VLOOKUP(B220,'HECVAT - Full | Vendor Response'!A$4:D$320,4,TRUE)</f>
        <v>Weave saves all audit logs in AWS cloudwatch</v>
      </c>
      <c r="E220" s="265" t="s">
        <v>467</v>
      </c>
      <c r="F220" s="265"/>
      <c r="G220" s="265"/>
      <c r="H220" s="175" t="s">
        <v>2321</v>
      </c>
      <c r="I220" s="175" t="s">
        <v>3203</v>
      </c>
      <c r="J220" s="266" t="str">
        <f t="shared" si="19"/>
        <v>FALSE</v>
      </c>
      <c r="K220" s="173">
        <f t="shared" si="24"/>
        <v>0</v>
      </c>
      <c r="L220" s="266" t="s">
        <v>2321</v>
      </c>
      <c r="M220" s="267" t="s">
        <v>102</v>
      </c>
      <c r="N220" s="267">
        <f>VLOOKUP(B220,'HECVAT - Full | Vendor Response'!A:E,3,FALSE)</f>
        <v>0</v>
      </c>
      <c r="O220" s="267" t="str">
        <f>IF(LEN(VLOOKUP(B220,'Analyst Report'!$A:$I,7,FALSE))= 0,"",VLOOKUP(B220,'Analyst Report'!$A:$I,7,FALSE))</f>
        <v/>
      </c>
      <c r="P220" s="267">
        <f t="shared" si="20"/>
        <v>0</v>
      </c>
      <c r="Q220" s="267">
        <v>20</v>
      </c>
      <c r="R220" s="267">
        <f>IF(LEN(VLOOKUP(B220,'Analyst Report'!$A$31:$I$288,9,FALSE))=0,VLOOKUP(B220,'Analyst Report'!$A$31:$I$288,8,FALSE),VLOOKUP(B220,'Analyst Report'!$A$31:$I$288,9,FALSE))</f>
        <v>20</v>
      </c>
      <c r="S220" s="267">
        <f t="shared" si="22"/>
        <v>0</v>
      </c>
      <c r="T220" s="267">
        <f t="shared" si="21"/>
        <v>0</v>
      </c>
      <c r="U220" s="164" t="s">
        <v>115</v>
      </c>
      <c r="V220" s="164" t="s">
        <v>115</v>
      </c>
      <c r="W220" s="164" t="s">
        <v>115</v>
      </c>
      <c r="X220" s="164" t="s">
        <v>115</v>
      </c>
      <c r="Y220" s="164" t="s">
        <v>115</v>
      </c>
      <c r="Z220" s="164" t="s">
        <v>115</v>
      </c>
      <c r="AA220" s="164" t="s">
        <v>115</v>
      </c>
      <c r="AB220" s="164" t="s">
        <v>115</v>
      </c>
    </row>
    <row r="221" spans="1:28" ht="60">
      <c r="A221" s="169">
        <f t="shared" si="23"/>
        <v>204</v>
      </c>
      <c r="B221" s="170" t="s">
        <v>472</v>
      </c>
      <c r="C221" s="170" t="s">
        <v>3208</v>
      </c>
      <c r="D221" s="170" t="str">
        <f>VLOOKUP(B221,'HECVAT - Full | Vendor Response'!A$4:D$320,4,TRUE)</f>
        <v>Weave saves all audit logs in AWS cloudwatch</v>
      </c>
      <c r="E221" s="265" t="s">
        <v>467</v>
      </c>
      <c r="F221" s="265"/>
      <c r="G221" s="265"/>
      <c r="H221" s="175" t="s">
        <v>2321</v>
      </c>
      <c r="I221" s="175" t="s">
        <v>3203</v>
      </c>
      <c r="J221" s="266" t="str">
        <f t="shared" si="19"/>
        <v>FALSE</v>
      </c>
      <c r="K221" s="173">
        <f t="shared" si="24"/>
        <v>0</v>
      </c>
      <c r="L221" s="266" t="s">
        <v>2321</v>
      </c>
      <c r="M221" s="267" t="s">
        <v>102</v>
      </c>
      <c r="N221" s="267">
        <f>VLOOKUP(B221,'HECVAT - Full | Vendor Response'!A:E,3,FALSE)</f>
        <v>0</v>
      </c>
      <c r="O221" s="267" t="str">
        <f>IF(LEN(VLOOKUP(B221,'Analyst Report'!$A:$I,7,FALSE))= 0,"",VLOOKUP(B221,'Analyst Report'!$A:$I,7,FALSE))</f>
        <v/>
      </c>
      <c r="P221" s="267">
        <f t="shared" si="20"/>
        <v>0</v>
      </c>
      <c r="Q221" s="267">
        <v>25</v>
      </c>
      <c r="R221" s="267">
        <f>IF(LEN(VLOOKUP(B221,'Analyst Report'!$A$31:$I$288,9,FALSE))=0,VLOOKUP(B221,'Analyst Report'!$A$31:$I$288,8,FALSE),VLOOKUP(B221,'Analyst Report'!$A$31:$I$288,9,FALSE))</f>
        <v>25</v>
      </c>
      <c r="S221" s="267">
        <f t="shared" si="22"/>
        <v>0</v>
      </c>
      <c r="T221" s="267">
        <f t="shared" si="21"/>
        <v>0</v>
      </c>
      <c r="U221" s="164" t="s">
        <v>115</v>
      </c>
      <c r="V221" s="164" t="s">
        <v>115</v>
      </c>
      <c r="W221" s="164" t="s">
        <v>115</v>
      </c>
      <c r="X221" s="164" t="s">
        <v>115</v>
      </c>
      <c r="Y221" s="164" t="s">
        <v>115</v>
      </c>
      <c r="Z221" s="164" t="s">
        <v>115</v>
      </c>
      <c r="AA221" s="164" t="s">
        <v>115</v>
      </c>
      <c r="AB221" s="164" t="s">
        <v>115</v>
      </c>
    </row>
    <row r="222" spans="1:28" ht="60">
      <c r="A222" s="169">
        <f t="shared" si="23"/>
        <v>205</v>
      </c>
      <c r="B222" s="170" t="s">
        <v>473</v>
      </c>
      <c r="C222" s="170" t="s">
        <v>3209</v>
      </c>
      <c r="D222" s="170" t="str">
        <f>VLOOKUP(B222,'HECVAT - Full | Vendor Response'!A$4:D$320,4,TRUE)</f>
        <v>Weave saves all audit logs in AWS cloudwatch</v>
      </c>
      <c r="E222" s="265" t="s">
        <v>467</v>
      </c>
      <c r="F222" s="265"/>
      <c r="G222" s="265"/>
      <c r="H222" s="175" t="s">
        <v>2321</v>
      </c>
      <c r="I222" s="175" t="s">
        <v>3203</v>
      </c>
      <c r="J222" s="266" t="str">
        <f t="shared" si="19"/>
        <v>FALSE</v>
      </c>
      <c r="K222" s="173">
        <f t="shared" si="24"/>
        <v>0</v>
      </c>
      <c r="L222" s="266" t="s">
        <v>2321</v>
      </c>
      <c r="M222" s="267" t="s">
        <v>102</v>
      </c>
      <c r="N222" s="267">
        <f>VLOOKUP(B222,'HECVAT - Full | Vendor Response'!A:E,3,FALSE)</f>
        <v>0</v>
      </c>
      <c r="O222" s="267" t="str">
        <f>IF(LEN(VLOOKUP(B222,'Analyst Report'!$A:$I,7,FALSE))= 0,"",VLOOKUP(B222,'Analyst Report'!$A:$I,7,FALSE))</f>
        <v/>
      </c>
      <c r="P222" s="267">
        <f t="shared" si="20"/>
        <v>0</v>
      </c>
      <c r="Q222" s="267">
        <v>20</v>
      </c>
      <c r="R222" s="267">
        <f>IF(LEN(VLOOKUP(B222,'Analyst Report'!$A$31:$I$288,9,FALSE))=0,VLOOKUP(B222,'Analyst Report'!$A$31:$I$288,8,FALSE),VLOOKUP(B222,'Analyst Report'!$A$31:$I$288,9,FALSE))</f>
        <v>20</v>
      </c>
      <c r="S222" s="267">
        <f t="shared" si="22"/>
        <v>0</v>
      </c>
      <c r="T222" s="267">
        <f t="shared" si="21"/>
        <v>0</v>
      </c>
      <c r="U222" s="164" t="s">
        <v>115</v>
      </c>
      <c r="V222" s="164" t="s">
        <v>115</v>
      </c>
      <c r="W222" s="164" t="s">
        <v>115</v>
      </c>
      <c r="X222" s="164" t="s">
        <v>115</v>
      </c>
      <c r="Y222" s="164" t="s">
        <v>115</v>
      </c>
      <c r="Z222" s="164" t="s">
        <v>115</v>
      </c>
      <c r="AA222" s="164" t="s">
        <v>115</v>
      </c>
      <c r="AB222" s="164" t="s">
        <v>115</v>
      </c>
    </row>
    <row r="223" spans="1:28" ht="60">
      <c r="A223" s="169">
        <f t="shared" si="23"/>
        <v>206</v>
      </c>
      <c r="B223" s="170" t="s">
        <v>474</v>
      </c>
      <c r="C223" s="170" t="s">
        <v>3210</v>
      </c>
      <c r="D223" s="170" t="str">
        <f>VLOOKUP(B223,'HECVAT - Full | Vendor Response'!A$4:D$320,4,TRUE)</f>
        <v>Weave saves all audit logs in AWS cloudwatch</v>
      </c>
      <c r="E223" s="265" t="s">
        <v>467</v>
      </c>
      <c r="F223" s="265"/>
      <c r="G223" s="265"/>
      <c r="H223" s="175" t="s">
        <v>2321</v>
      </c>
      <c r="I223" s="175" t="s">
        <v>3203</v>
      </c>
      <c r="J223" s="266" t="str">
        <f t="shared" si="19"/>
        <v>FALSE</v>
      </c>
      <c r="K223" s="173">
        <f t="shared" si="24"/>
        <v>0</v>
      </c>
      <c r="L223" s="266" t="s">
        <v>2321</v>
      </c>
      <c r="M223" s="267" t="s">
        <v>102</v>
      </c>
      <c r="N223" s="267">
        <f>VLOOKUP(B223,'HECVAT - Full | Vendor Response'!A:E,3,FALSE)</f>
        <v>0</v>
      </c>
      <c r="O223" s="267" t="str">
        <f>IF(LEN(VLOOKUP(B223,'Analyst Report'!$A:$I,7,FALSE))= 0,"",VLOOKUP(B223,'Analyst Report'!$A:$I,7,FALSE))</f>
        <v/>
      </c>
      <c r="P223" s="267">
        <f t="shared" si="20"/>
        <v>0</v>
      </c>
      <c r="Q223" s="267">
        <v>20</v>
      </c>
      <c r="R223" s="267">
        <f>IF(LEN(VLOOKUP(B223,'Analyst Report'!$A$31:$I$288,9,FALSE))=0,VLOOKUP(B223,'Analyst Report'!$A$31:$I$288,8,FALSE),VLOOKUP(B223,'Analyst Report'!$A$31:$I$288,9,FALSE))</f>
        <v>20</v>
      </c>
      <c r="S223" s="267">
        <f t="shared" si="22"/>
        <v>0</v>
      </c>
      <c r="T223" s="267">
        <f t="shared" si="21"/>
        <v>0</v>
      </c>
      <c r="U223" s="164" t="s">
        <v>115</v>
      </c>
      <c r="V223" s="164" t="s">
        <v>115</v>
      </c>
      <c r="W223" s="164" t="s">
        <v>115</v>
      </c>
      <c r="X223" s="164" t="s">
        <v>115</v>
      </c>
      <c r="Y223" s="164" t="s">
        <v>115</v>
      </c>
      <c r="Z223" s="164" t="s">
        <v>115</v>
      </c>
      <c r="AA223" s="164" t="s">
        <v>115</v>
      </c>
      <c r="AB223" s="164" t="s">
        <v>115</v>
      </c>
    </row>
    <row r="224" spans="1:28" ht="60">
      <c r="A224" s="169">
        <f t="shared" si="23"/>
        <v>207</v>
      </c>
      <c r="B224" s="170" t="s">
        <v>475</v>
      </c>
      <c r="C224" s="170" t="s">
        <v>3211</v>
      </c>
      <c r="D224" s="170" t="str">
        <f>VLOOKUP(B224,'HECVAT - Full | Vendor Response'!A$4:D$320,4,TRUE)</f>
        <v>Weave saves all audit logs in AWS cloudwatch</v>
      </c>
      <c r="E224" s="265" t="s">
        <v>467</v>
      </c>
      <c r="F224" s="265"/>
      <c r="G224" s="265"/>
      <c r="H224" s="175" t="s">
        <v>2321</v>
      </c>
      <c r="I224" s="175" t="s">
        <v>3203</v>
      </c>
      <c r="J224" s="266" t="str">
        <f t="shared" si="19"/>
        <v>FALSE</v>
      </c>
      <c r="K224" s="173">
        <f t="shared" si="24"/>
        <v>0</v>
      </c>
      <c r="L224" s="266" t="s">
        <v>2321</v>
      </c>
      <c r="M224" s="267" t="s">
        <v>102</v>
      </c>
      <c r="N224" s="267">
        <f>VLOOKUP(B224,'HECVAT - Full | Vendor Response'!A:E,3,FALSE)</f>
        <v>0</v>
      </c>
      <c r="O224" s="267" t="str">
        <f>IF(LEN(VLOOKUP(B224,'Analyst Report'!$A:$I,7,FALSE))= 0,"",VLOOKUP(B224,'Analyst Report'!$A:$I,7,FALSE))</f>
        <v/>
      </c>
      <c r="P224" s="267">
        <f t="shared" si="20"/>
        <v>0</v>
      </c>
      <c r="Q224" s="267">
        <v>20</v>
      </c>
      <c r="R224" s="267">
        <f>IF(LEN(VLOOKUP(B224,'Analyst Report'!$A$31:$I$288,9,FALSE))=0,VLOOKUP(B224,'Analyst Report'!$A$31:$I$288,8,FALSE),VLOOKUP(B224,'Analyst Report'!$A$31:$I$288,9,FALSE))</f>
        <v>20</v>
      </c>
      <c r="S224" s="267">
        <f t="shared" si="22"/>
        <v>0</v>
      </c>
      <c r="T224" s="267">
        <f t="shared" si="21"/>
        <v>0</v>
      </c>
      <c r="U224" s="164" t="s">
        <v>115</v>
      </c>
      <c r="V224" s="164" t="s">
        <v>115</v>
      </c>
      <c r="W224" s="164" t="s">
        <v>115</v>
      </c>
      <c r="X224" s="164" t="s">
        <v>115</v>
      </c>
      <c r="Y224" s="164" t="s">
        <v>115</v>
      </c>
      <c r="Z224" s="164" t="s">
        <v>115</v>
      </c>
      <c r="AA224" s="164" t="s">
        <v>115</v>
      </c>
      <c r="AB224" s="164" t="s">
        <v>115</v>
      </c>
    </row>
    <row r="225" spans="1:28" ht="60">
      <c r="A225" s="169">
        <f t="shared" si="23"/>
        <v>208</v>
      </c>
      <c r="B225" s="170" t="s">
        <v>476</v>
      </c>
      <c r="C225" s="170" t="s">
        <v>3212</v>
      </c>
      <c r="D225" s="170" t="str">
        <f>VLOOKUP(B225,'HECVAT - Full | Vendor Response'!A$4:D$320,4,TRUE)</f>
        <v>Weave saves all audit logs in AWS cloudwatch</v>
      </c>
      <c r="E225" s="265" t="s">
        <v>467</v>
      </c>
      <c r="F225" s="265"/>
      <c r="G225" s="265"/>
      <c r="H225" s="175" t="s">
        <v>2321</v>
      </c>
      <c r="I225" s="175" t="s">
        <v>3203</v>
      </c>
      <c r="J225" s="266" t="str">
        <f t="shared" si="19"/>
        <v>FALSE</v>
      </c>
      <c r="K225" s="173">
        <f t="shared" si="24"/>
        <v>0</v>
      </c>
      <c r="L225" s="266" t="s">
        <v>2321</v>
      </c>
      <c r="M225" s="267" t="s">
        <v>102</v>
      </c>
      <c r="N225" s="267">
        <f>VLOOKUP(B225,'HECVAT - Full | Vendor Response'!A:E,3,FALSE)</f>
        <v>0</v>
      </c>
      <c r="O225" s="267" t="str">
        <f>IF(LEN(VLOOKUP(B225,'Analyst Report'!$A:$I,7,FALSE))= 0,"",VLOOKUP(B225,'Analyst Report'!$A:$I,7,FALSE))</f>
        <v/>
      </c>
      <c r="P225" s="267">
        <f t="shared" si="20"/>
        <v>0</v>
      </c>
      <c r="Q225" s="267">
        <v>20</v>
      </c>
      <c r="R225" s="267">
        <f>IF(LEN(VLOOKUP(B225,'Analyst Report'!$A$31:$I$288,9,FALSE))=0,VLOOKUP(B225,'Analyst Report'!$A$31:$I$288,8,FALSE),VLOOKUP(B225,'Analyst Report'!$A$31:$I$288,9,FALSE))</f>
        <v>20</v>
      </c>
      <c r="S225" s="267">
        <f t="shared" si="22"/>
        <v>0</v>
      </c>
      <c r="T225" s="267">
        <f t="shared" si="21"/>
        <v>0</v>
      </c>
      <c r="U225" s="164" t="s">
        <v>115</v>
      </c>
      <c r="V225" s="164" t="s">
        <v>115</v>
      </c>
      <c r="W225" s="164" t="s">
        <v>115</v>
      </c>
      <c r="X225" s="164" t="s">
        <v>115</v>
      </c>
      <c r="Y225" s="164" t="s">
        <v>115</v>
      </c>
      <c r="Z225" s="164" t="s">
        <v>115</v>
      </c>
      <c r="AA225" s="164" t="s">
        <v>115</v>
      </c>
      <c r="AB225" s="164" t="s">
        <v>115</v>
      </c>
    </row>
    <row r="226" spans="1:28" ht="60">
      <c r="A226" s="169">
        <f t="shared" si="23"/>
        <v>209</v>
      </c>
      <c r="B226" s="170" t="s">
        <v>477</v>
      </c>
      <c r="C226" s="170" t="s">
        <v>3213</v>
      </c>
      <c r="D226" s="170" t="str">
        <f>VLOOKUP(B226,'HECVAT - Full | Vendor Response'!A$4:D$320,4,TRUE)</f>
        <v>Weave saves all audit logs in AWS cloudwatch</v>
      </c>
      <c r="E226" s="265" t="s">
        <v>467</v>
      </c>
      <c r="F226" s="265"/>
      <c r="G226" s="265"/>
      <c r="H226" s="175" t="s">
        <v>2321</v>
      </c>
      <c r="I226" s="175" t="s">
        <v>3203</v>
      </c>
      <c r="J226" s="266" t="str">
        <f t="shared" si="19"/>
        <v>FALSE</v>
      </c>
      <c r="K226" s="173">
        <f t="shared" si="24"/>
        <v>0</v>
      </c>
      <c r="L226" s="266" t="s">
        <v>2321</v>
      </c>
      <c r="M226" s="267" t="s">
        <v>102</v>
      </c>
      <c r="N226" s="267">
        <f>VLOOKUP(B226,'HECVAT - Full | Vendor Response'!A:E,3,FALSE)</f>
        <v>0</v>
      </c>
      <c r="O226" s="267" t="str">
        <f>IF(LEN(VLOOKUP(B226,'Analyst Report'!$A:$I,7,FALSE))= 0,"",VLOOKUP(B226,'Analyst Report'!$A:$I,7,FALSE))</f>
        <v/>
      </c>
      <c r="P226" s="267">
        <f t="shared" si="20"/>
        <v>0</v>
      </c>
      <c r="Q226" s="267">
        <v>20</v>
      </c>
      <c r="R226" s="267">
        <f>IF(LEN(VLOOKUP(B226,'Analyst Report'!$A$31:$I$288,9,FALSE))=0,VLOOKUP(B226,'Analyst Report'!$A$31:$I$288,8,FALSE),VLOOKUP(B226,'Analyst Report'!$A$31:$I$288,9,FALSE))</f>
        <v>20</v>
      </c>
      <c r="S226" s="267">
        <f t="shared" si="22"/>
        <v>0</v>
      </c>
      <c r="T226" s="267">
        <f t="shared" si="21"/>
        <v>0</v>
      </c>
      <c r="U226" s="164" t="s">
        <v>115</v>
      </c>
      <c r="V226" s="164" t="s">
        <v>115</v>
      </c>
      <c r="W226" s="164" t="s">
        <v>115</v>
      </c>
      <c r="X226" s="164" t="s">
        <v>115</v>
      </c>
      <c r="Y226" s="164" t="s">
        <v>115</v>
      </c>
      <c r="Z226" s="164" t="s">
        <v>115</v>
      </c>
      <c r="AA226" s="164" t="s">
        <v>115</v>
      </c>
      <c r="AB226" s="164" t="s">
        <v>115</v>
      </c>
    </row>
    <row r="227" spans="1:28" ht="60">
      <c r="A227" s="169">
        <f t="shared" si="23"/>
        <v>210</v>
      </c>
      <c r="B227" s="170" t="s">
        <v>478</v>
      </c>
      <c r="C227" s="170" t="s">
        <v>3214</v>
      </c>
      <c r="D227" s="170" t="str">
        <f>VLOOKUP(B227,'HECVAT - Full | Vendor Response'!A$4:D$320,4,TRUE)</f>
        <v>Weave saves all audit logs in AWS cloudwatch</v>
      </c>
      <c r="E227" s="265" t="s">
        <v>467</v>
      </c>
      <c r="F227" s="265"/>
      <c r="G227" s="265"/>
      <c r="H227" s="175" t="s">
        <v>2321</v>
      </c>
      <c r="I227" s="175" t="s">
        <v>3203</v>
      </c>
      <c r="J227" s="266" t="str">
        <f t="shared" si="19"/>
        <v>FALSE</v>
      </c>
      <c r="K227" s="173">
        <f t="shared" si="24"/>
        <v>0</v>
      </c>
      <c r="L227" s="266" t="s">
        <v>2321</v>
      </c>
      <c r="M227" s="267" t="s">
        <v>100</v>
      </c>
      <c r="N227" s="267">
        <f>VLOOKUP(B227,'HECVAT - Full | Vendor Response'!A:E,3,FALSE)</f>
        <v>0</v>
      </c>
      <c r="O227" s="267" t="str">
        <f>IF(LEN(VLOOKUP(B227,'Analyst Report'!$A:$I,7,FALSE))= 0,"",VLOOKUP(B227,'Analyst Report'!$A:$I,7,FALSE))</f>
        <v/>
      </c>
      <c r="P227" s="267">
        <f t="shared" ref="P227:P256" si="25">IF((O227=""),(IF(ISNUMBER(FIND(M227,N227)), 1, 0)),(IF(ISNUMBER(FIND(M227,O227)), 1, 0)))</f>
        <v>0</v>
      </c>
      <c r="Q227" s="267">
        <v>20</v>
      </c>
      <c r="R227" s="267">
        <f>IF(LEN(VLOOKUP(B227,'Analyst Report'!$A$31:$I$288,9,FALSE))=0,VLOOKUP(B227,'Analyst Report'!$A$31:$I$288,8,FALSE),VLOOKUP(B227,'Analyst Report'!$A$31:$I$288,9,FALSE))</f>
        <v>20</v>
      </c>
      <c r="S227" s="267">
        <f t="shared" si="22"/>
        <v>0</v>
      </c>
      <c r="T227" s="267">
        <f t="shared" ref="T227:T256" si="26">P227*S227</f>
        <v>0</v>
      </c>
      <c r="U227" s="164" t="s">
        <v>115</v>
      </c>
      <c r="V227" s="164" t="s">
        <v>115</v>
      </c>
      <c r="W227" s="164" t="s">
        <v>115</v>
      </c>
      <c r="X227" s="164" t="s">
        <v>115</v>
      </c>
      <c r="Y227" s="164" t="s">
        <v>115</v>
      </c>
      <c r="Z227" s="164" t="s">
        <v>115</v>
      </c>
      <c r="AA227" s="164" t="s">
        <v>115</v>
      </c>
      <c r="AB227" s="164" t="s">
        <v>115</v>
      </c>
    </row>
    <row r="228" spans="1:28" ht="60">
      <c r="A228" s="169">
        <f t="shared" si="23"/>
        <v>211</v>
      </c>
      <c r="B228" s="170" t="s">
        <v>479</v>
      </c>
      <c r="C228" s="170" t="s">
        <v>3215</v>
      </c>
      <c r="D228" s="170" t="str">
        <f>VLOOKUP(B228,'HECVAT - Full | Vendor Response'!A$4:D$320,4,TRUE)</f>
        <v>Weave saves all audit logs in AWS cloudwatch</v>
      </c>
      <c r="E228" s="265" t="s">
        <v>467</v>
      </c>
      <c r="F228" s="265"/>
      <c r="G228" s="265"/>
      <c r="H228" s="175" t="s">
        <v>2321</v>
      </c>
      <c r="I228" s="175" t="s">
        <v>3203</v>
      </c>
      <c r="J228" s="266" t="str">
        <f t="shared" si="19"/>
        <v>FALSE</v>
      </c>
      <c r="K228" s="173">
        <f t="shared" si="24"/>
        <v>0</v>
      </c>
      <c r="L228" s="266" t="s">
        <v>2321</v>
      </c>
      <c r="M228" s="267" t="s">
        <v>102</v>
      </c>
      <c r="N228" s="267">
        <f>VLOOKUP(B228,'HECVAT - Full | Vendor Response'!A:E,3,FALSE)</f>
        <v>0</v>
      </c>
      <c r="O228" s="267" t="str">
        <f>IF(LEN(VLOOKUP(B228,'Analyst Report'!$A:$I,7,FALSE))= 0,"",VLOOKUP(B228,'Analyst Report'!$A:$I,7,FALSE))</f>
        <v/>
      </c>
      <c r="P228" s="267">
        <f t="shared" si="25"/>
        <v>0</v>
      </c>
      <c r="Q228" s="267">
        <v>20</v>
      </c>
      <c r="R228" s="267">
        <f>IF(LEN(VLOOKUP(B228,'Analyst Report'!$A$31:$I$288,9,FALSE))=0,VLOOKUP(B228,'Analyst Report'!$A$31:$I$288,8,FALSE),VLOOKUP(B228,'Analyst Report'!$A$31:$I$288,9,FALSE))</f>
        <v>20</v>
      </c>
      <c r="S228" s="267">
        <f t="shared" si="22"/>
        <v>0</v>
      </c>
      <c r="T228" s="267">
        <f t="shared" si="26"/>
        <v>0</v>
      </c>
      <c r="U228" s="164" t="s">
        <v>115</v>
      </c>
      <c r="V228" s="164" t="s">
        <v>115</v>
      </c>
      <c r="W228" s="164" t="s">
        <v>115</v>
      </c>
      <c r="X228" s="164" t="s">
        <v>115</v>
      </c>
      <c r="Y228" s="164" t="s">
        <v>115</v>
      </c>
      <c r="Z228" s="164" t="s">
        <v>115</v>
      </c>
      <c r="AA228" s="164" t="s">
        <v>115</v>
      </c>
      <c r="AB228" s="164" t="s">
        <v>115</v>
      </c>
    </row>
    <row r="229" spans="1:28" ht="60">
      <c r="A229" s="169">
        <f t="shared" si="23"/>
        <v>212</v>
      </c>
      <c r="B229" s="170" t="s">
        <v>480</v>
      </c>
      <c r="C229" s="170" t="s">
        <v>3216</v>
      </c>
      <c r="D229" s="170" t="str">
        <f>VLOOKUP(B229,'HECVAT - Full | Vendor Response'!A$4:D$320,4,TRUE)</f>
        <v>Weave saves all audit logs in AWS cloudwatch</v>
      </c>
      <c r="E229" s="265" t="s">
        <v>467</v>
      </c>
      <c r="F229" s="265"/>
      <c r="G229" s="265"/>
      <c r="H229" s="175" t="s">
        <v>2321</v>
      </c>
      <c r="I229" s="175" t="s">
        <v>3203</v>
      </c>
      <c r="J229" s="266" t="str">
        <f t="shared" si="19"/>
        <v>FALSE</v>
      </c>
      <c r="K229" s="173">
        <f t="shared" si="24"/>
        <v>0</v>
      </c>
      <c r="L229" s="266" t="s">
        <v>2321</v>
      </c>
      <c r="M229" s="267" t="s">
        <v>102</v>
      </c>
      <c r="N229" s="267">
        <f>VLOOKUP(B229,'HECVAT - Full | Vendor Response'!A:E,3,FALSE)</f>
        <v>0</v>
      </c>
      <c r="O229" s="267" t="str">
        <f>IF(LEN(VLOOKUP(B229,'Analyst Report'!$A:$I,7,FALSE))= 0,"",VLOOKUP(B229,'Analyst Report'!$A:$I,7,FALSE))</f>
        <v/>
      </c>
      <c r="P229" s="267">
        <f t="shared" si="25"/>
        <v>0</v>
      </c>
      <c r="Q229" s="267">
        <v>20</v>
      </c>
      <c r="R229" s="267">
        <f>IF(LEN(VLOOKUP(B229,'Analyst Report'!$A$31:$I$288,9,FALSE))=0,VLOOKUP(B229,'Analyst Report'!$A$31:$I$288,8,FALSE),VLOOKUP(B229,'Analyst Report'!$A$31:$I$288,9,FALSE))</f>
        <v>20</v>
      </c>
      <c r="S229" s="267">
        <f t="shared" si="22"/>
        <v>0</v>
      </c>
      <c r="T229" s="267">
        <f t="shared" si="26"/>
        <v>0</v>
      </c>
      <c r="U229" s="164" t="s">
        <v>115</v>
      </c>
      <c r="V229" s="164" t="s">
        <v>115</v>
      </c>
      <c r="W229" s="164" t="s">
        <v>115</v>
      </c>
      <c r="X229" s="164" t="s">
        <v>115</v>
      </c>
      <c r="Y229" s="164" t="s">
        <v>115</v>
      </c>
      <c r="Z229" s="164" t="s">
        <v>115</v>
      </c>
      <c r="AA229" s="164" t="s">
        <v>115</v>
      </c>
      <c r="AB229" s="164" t="s">
        <v>115</v>
      </c>
    </row>
    <row r="230" spans="1:28" ht="60">
      <c r="A230" s="169">
        <f t="shared" si="23"/>
        <v>213</v>
      </c>
      <c r="B230" s="170" t="s">
        <v>481</v>
      </c>
      <c r="C230" s="170" t="s">
        <v>3217</v>
      </c>
      <c r="D230" s="170" t="str">
        <f>VLOOKUP(B230,'HECVAT - Full | Vendor Response'!A$4:D$320,4,TRUE)</f>
        <v>Weave saves all audit logs in AWS cloudwatch</v>
      </c>
      <c r="E230" s="265" t="s">
        <v>467</v>
      </c>
      <c r="F230" s="265"/>
      <c r="G230" s="265"/>
      <c r="H230" s="175" t="s">
        <v>2321</v>
      </c>
      <c r="I230" s="175" t="s">
        <v>3203</v>
      </c>
      <c r="J230" s="266" t="str">
        <f t="shared" si="19"/>
        <v>FALSE</v>
      </c>
      <c r="K230" s="173">
        <f t="shared" si="24"/>
        <v>0</v>
      </c>
      <c r="L230" s="266" t="s">
        <v>2321</v>
      </c>
      <c r="M230" s="267" t="s">
        <v>102</v>
      </c>
      <c r="N230" s="267">
        <f>VLOOKUP(B230,'HECVAT - Full | Vendor Response'!A:E,3,FALSE)</f>
        <v>0</v>
      </c>
      <c r="O230" s="267" t="str">
        <f>IF(LEN(VLOOKUP(B230,'Analyst Report'!$A:$I,7,FALSE))= 0,"",VLOOKUP(B230,'Analyst Report'!$A:$I,7,FALSE))</f>
        <v/>
      </c>
      <c r="P230" s="267">
        <f t="shared" si="25"/>
        <v>0</v>
      </c>
      <c r="Q230" s="267">
        <v>20</v>
      </c>
      <c r="R230" s="267">
        <f>IF(LEN(VLOOKUP(B230,'Analyst Report'!$A$31:$I$288,9,FALSE))=0,VLOOKUP(B230,'Analyst Report'!$A$31:$I$288,8,FALSE),VLOOKUP(B230,'Analyst Report'!$A$31:$I$288,9,FALSE))</f>
        <v>20</v>
      </c>
      <c r="S230" s="267">
        <f t="shared" si="22"/>
        <v>0</v>
      </c>
      <c r="T230" s="267">
        <f t="shared" si="26"/>
        <v>0</v>
      </c>
      <c r="U230" s="164" t="s">
        <v>115</v>
      </c>
      <c r="V230" s="164" t="s">
        <v>115</v>
      </c>
      <c r="W230" s="164" t="s">
        <v>115</v>
      </c>
      <c r="X230" s="164" t="s">
        <v>115</v>
      </c>
      <c r="Y230" s="164" t="s">
        <v>115</v>
      </c>
      <c r="Z230" s="164" t="s">
        <v>115</v>
      </c>
      <c r="AA230" s="164" t="s">
        <v>115</v>
      </c>
      <c r="AB230" s="164" t="s">
        <v>115</v>
      </c>
    </row>
    <row r="231" spans="1:28" ht="60">
      <c r="A231" s="169">
        <f t="shared" si="23"/>
        <v>214</v>
      </c>
      <c r="B231" s="170" t="s">
        <v>482</v>
      </c>
      <c r="C231" s="170" t="s">
        <v>3218</v>
      </c>
      <c r="D231" s="170" t="str">
        <f>VLOOKUP(B231,'HECVAT - Full | Vendor Response'!A$4:D$320,4,TRUE)</f>
        <v>Weave saves all audit logs in AWS cloudwatch</v>
      </c>
      <c r="E231" s="265" t="s">
        <v>467</v>
      </c>
      <c r="F231" s="265"/>
      <c r="G231" s="265"/>
      <c r="H231" s="175" t="s">
        <v>2321</v>
      </c>
      <c r="I231" s="175" t="s">
        <v>3203</v>
      </c>
      <c r="J231" s="266" t="str">
        <f t="shared" si="19"/>
        <v>FALSE</v>
      </c>
      <c r="K231" s="173">
        <f t="shared" si="24"/>
        <v>0</v>
      </c>
      <c r="L231" s="266" t="s">
        <v>2321</v>
      </c>
      <c r="M231" s="267" t="s">
        <v>100</v>
      </c>
      <c r="N231" s="267">
        <f>VLOOKUP(B231,'HECVAT - Full | Vendor Response'!A:E,3,FALSE)</f>
        <v>0</v>
      </c>
      <c r="O231" s="267" t="str">
        <f>IF(LEN(VLOOKUP(B231,'Analyst Report'!$A:$I,7,FALSE))= 0,"",VLOOKUP(B231,'Analyst Report'!$A:$I,7,FALSE))</f>
        <v/>
      </c>
      <c r="P231" s="267">
        <f t="shared" si="25"/>
        <v>0</v>
      </c>
      <c r="Q231" s="267">
        <v>20</v>
      </c>
      <c r="R231" s="267">
        <f>IF(LEN(VLOOKUP(B231,'Analyst Report'!$A$31:$I$288,9,FALSE))=0,VLOOKUP(B231,'Analyst Report'!$A$31:$I$288,8,FALSE),VLOOKUP(B231,'Analyst Report'!$A$31:$I$288,9,FALSE))</f>
        <v>20</v>
      </c>
      <c r="S231" s="267">
        <f t="shared" si="22"/>
        <v>0</v>
      </c>
      <c r="T231" s="267">
        <f t="shared" si="26"/>
        <v>0</v>
      </c>
      <c r="U231" s="164" t="s">
        <v>115</v>
      </c>
      <c r="V231" s="164" t="s">
        <v>115</v>
      </c>
      <c r="W231" s="164" t="s">
        <v>115</v>
      </c>
      <c r="X231" s="164" t="s">
        <v>115</v>
      </c>
      <c r="Y231" s="164" t="s">
        <v>115</v>
      </c>
      <c r="Z231" s="164" t="s">
        <v>115</v>
      </c>
      <c r="AA231" s="164" t="s">
        <v>115</v>
      </c>
      <c r="AB231" s="164" t="s">
        <v>115</v>
      </c>
    </row>
    <row r="232" spans="1:28" ht="60">
      <c r="A232" s="169">
        <f t="shared" si="23"/>
        <v>215</v>
      </c>
      <c r="B232" s="170" t="s">
        <v>483</v>
      </c>
      <c r="C232" s="170" t="s">
        <v>3219</v>
      </c>
      <c r="D232" s="170" t="str">
        <f>VLOOKUP(B232,'HECVAT - Full | Vendor Response'!A$4:D$320,4,TRUE)</f>
        <v>Weave saves all audit logs in AWS cloudwatch</v>
      </c>
      <c r="E232" s="265" t="s">
        <v>467</v>
      </c>
      <c r="F232" s="265"/>
      <c r="G232" s="265"/>
      <c r="H232" s="175" t="s">
        <v>2321</v>
      </c>
      <c r="I232" s="175" t="s">
        <v>3203</v>
      </c>
      <c r="J232" s="266" t="str">
        <f t="shared" si="19"/>
        <v>FALSE</v>
      </c>
      <c r="K232" s="173">
        <f t="shared" si="24"/>
        <v>0</v>
      </c>
      <c r="L232" s="266" t="s">
        <v>2321</v>
      </c>
      <c r="M232" s="267" t="s">
        <v>102</v>
      </c>
      <c r="N232" s="267">
        <f>VLOOKUP(B232,'HECVAT - Full | Vendor Response'!A:E,3,FALSE)</f>
        <v>0</v>
      </c>
      <c r="O232" s="267" t="str">
        <f>IF(LEN(VLOOKUP(B232,'Analyst Report'!$A:$I,7,FALSE))= 0,"",VLOOKUP(B232,'Analyst Report'!$A:$I,7,FALSE))</f>
        <v/>
      </c>
      <c r="P232" s="267">
        <f t="shared" si="25"/>
        <v>0</v>
      </c>
      <c r="Q232" s="267">
        <v>20</v>
      </c>
      <c r="R232" s="267">
        <f>IF(LEN(VLOOKUP(B232,'Analyst Report'!$A$31:$I$288,9,FALSE))=0,VLOOKUP(B232,'Analyst Report'!$A$31:$I$288,8,FALSE),VLOOKUP(B232,'Analyst Report'!$A$31:$I$288,9,FALSE))</f>
        <v>20</v>
      </c>
      <c r="S232" s="267">
        <f t="shared" si="22"/>
        <v>0</v>
      </c>
      <c r="T232" s="267">
        <f t="shared" si="26"/>
        <v>0</v>
      </c>
      <c r="U232" s="164" t="s">
        <v>115</v>
      </c>
      <c r="V232" s="164" t="s">
        <v>115</v>
      </c>
      <c r="W232" s="164" t="s">
        <v>115</v>
      </c>
      <c r="X232" s="164" t="s">
        <v>115</v>
      </c>
      <c r="Y232" s="164" t="s">
        <v>115</v>
      </c>
      <c r="Z232" s="164" t="s">
        <v>115</v>
      </c>
      <c r="AA232" s="164" t="s">
        <v>115</v>
      </c>
      <c r="AB232" s="164" t="s">
        <v>115</v>
      </c>
    </row>
    <row r="233" spans="1:28" ht="60">
      <c r="A233" s="169">
        <f t="shared" si="23"/>
        <v>216</v>
      </c>
      <c r="B233" s="170" t="s">
        <v>484</v>
      </c>
      <c r="C233" s="170" t="s">
        <v>3220</v>
      </c>
      <c r="D233" s="170" t="str">
        <f>VLOOKUP(B233,'HECVAT - Full | Vendor Response'!A$4:D$320,4,TRUE)</f>
        <v>Weave saves all audit logs in AWS cloudwatch</v>
      </c>
      <c r="E233" s="265" t="s">
        <v>467</v>
      </c>
      <c r="F233" s="265"/>
      <c r="G233" s="265"/>
      <c r="H233" s="175" t="s">
        <v>2321</v>
      </c>
      <c r="I233" s="175" t="s">
        <v>3203</v>
      </c>
      <c r="J233" s="266" t="str">
        <f t="shared" si="19"/>
        <v>FALSE</v>
      </c>
      <c r="K233" s="173">
        <f t="shared" si="24"/>
        <v>0</v>
      </c>
      <c r="L233" s="266" t="s">
        <v>2321</v>
      </c>
      <c r="M233" s="267" t="s">
        <v>102</v>
      </c>
      <c r="N233" s="267">
        <f>VLOOKUP(B233,'HECVAT - Full | Vendor Response'!A:E,3,FALSE)</f>
        <v>0</v>
      </c>
      <c r="O233" s="267" t="str">
        <f>IF(LEN(VLOOKUP(B233,'Analyst Report'!$A:$I,7,FALSE))= 0,"",VLOOKUP(B233,'Analyst Report'!$A:$I,7,FALSE))</f>
        <v/>
      </c>
      <c r="P233" s="267">
        <f t="shared" si="25"/>
        <v>0</v>
      </c>
      <c r="Q233" s="267">
        <v>20</v>
      </c>
      <c r="R233" s="267">
        <f>IF(LEN(VLOOKUP(B233,'Analyst Report'!$A$31:$I$288,9,FALSE))=0,VLOOKUP(B233,'Analyst Report'!$A$31:$I$288,8,FALSE),VLOOKUP(B233,'Analyst Report'!$A$31:$I$288,9,FALSE))</f>
        <v>20</v>
      </c>
      <c r="S233" s="267">
        <f t="shared" si="22"/>
        <v>0</v>
      </c>
      <c r="T233" s="267">
        <f t="shared" si="26"/>
        <v>0</v>
      </c>
      <c r="U233" s="164" t="s">
        <v>115</v>
      </c>
      <c r="V233" s="164" t="s">
        <v>115</v>
      </c>
      <c r="W233" s="164" t="s">
        <v>115</v>
      </c>
      <c r="X233" s="164" t="s">
        <v>115</v>
      </c>
      <c r="Y233" s="164" t="s">
        <v>115</v>
      </c>
      <c r="Z233" s="164" t="s">
        <v>115</v>
      </c>
      <c r="AA233" s="164" t="s">
        <v>115</v>
      </c>
      <c r="AB233" s="164" t="s">
        <v>115</v>
      </c>
    </row>
    <row r="234" spans="1:28" ht="60">
      <c r="A234" s="169">
        <f t="shared" si="23"/>
        <v>217</v>
      </c>
      <c r="B234" s="170" t="s">
        <v>485</v>
      </c>
      <c r="C234" s="170" t="s">
        <v>3221</v>
      </c>
      <c r="D234" s="170" t="str">
        <f>VLOOKUP(B234,'HECVAT - Full | Vendor Response'!A$4:D$320,4,TRUE)</f>
        <v>Weave saves all audit logs in AWS cloudwatch</v>
      </c>
      <c r="E234" s="265" t="s">
        <v>467</v>
      </c>
      <c r="F234" s="265"/>
      <c r="G234" s="265"/>
      <c r="H234" s="175" t="s">
        <v>2321</v>
      </c>
      <c r="I234" s="175" t="s">
        <v>3203</v>
      </c>
      <c r="J234" s="266" t="str">
        <f t="shared" si="19"/>
        <v>FALSE</v>
      </c>
      <c r="K234" s="173">
        <f t="shared" si="24"/>
        <v>0</v>
      </c>
      <c r="L234" s="266" t="s">
        <v>2321</v>
      </c>
      <c r="M234" s="267" t="s">
        <v>102</v>
      </c>
      <c r="N234" s="267">
        <f>VLOOKUP(B234,'HECVAT - Full | Vendor Response'!A:E,3,FALSE)</f>
        <v>0</v>
      </c>
      <c r="O234" s="267" t="str">
        <f>IF(LEN(VLOOKUP(B234,'Analyst Report'!$A:$I,7,FALSE))= 0,"",VLOOKUP(B234,'Analyst Report'!$A:$I,7,FALSE))</f>
        <v/>
      </c>
      <c r="P234" s="267">
        <f t="shared" si="25"/>
        <v>0</v>
      </c>
      <c r="Q234" s="267">
        <v>20</v>
      </c>
      <c r="R234" s="267">
        <f>IF(LEN(VLOOKUP(B234,'Analyst Report'!$A$31:$I$288,9,FALSE))=0,VLOOKUP(B234,'Analyst Report'!$A$31:$I$288,8,FALSE),VLOOKUP(B234,'Analyst Report'!$A$31:$I$288,9,FALSE))</f>
        <v>20</v>
      </c>
      <c r="S234" s="267">
        <f t="shared" si="22"/>
        <v>0</v>
      </c>
      <c r="T234" s="267">
        <f t="shared" si="26"/>
        <v>0</v>
      </c>
      <c r="U234" s="164" t="s">
        <v>115</v>
      </c>
      <c r="V234" s="164" t="s">
        <v>115</v>
      </c>
      <c r="W234" s="164" t="s">
        <v>115</v>
      </c>
      <c r="X234" s="164" t="s">
        <v>115</v>
      </c>
      <c r="Y234" s="164" t="s">
        <v>115</v>
      </c>
      <c r="Z234" s="164" t="s">
        <v>115</v>
      </c>
      <c r="AA234" s="164" t="s">
        <v>115</v>
      </c>
      <c r="AB234" s="164" t="s">
        <v>115</v>
      </c>
    </row>
    <row r="235" spans="1:28" ht="75">
      <c r="A235" s="169">
        <f t="shared" si="23"/>
        <v>218</v>
      </c>
      <c r="B235" s="170" t="s">
        <v>486</v>
      </c>
      <c r="C235" s="170" t="s">
        <v>3222</v>
      </c>
      <c r="D235" s="170" t="str">
        <f>VLOOKUP(B235,'HECVAT - Full | Vendor Response'!A$4:D$320,4,TRUE)</f>
        <v>Weave saves all audit logs in AWS cloudwatch</v>
      </c>
      <c r="E235" s="265" t="s">
        <v>467</v>
      </c>
      <c r="F235" s="265"/>
      <c r="G235" s="265"/>
      <c r="H235" s="175" t="s">
        <v>2321</v>
      </c>
      <c r="I235" s="175" t="s">
        <v>3203</v>
      </c>
      <c r="J235" s="266" t="str">
        <f t="shared" ref="J235:J256" si="27">IF(S235&gt;20,"TRUE","FALSE")</f>
        <v>FALSE</v>
      </c>
      <c r="K235" s="173">
        <f t="shared" si="24"/>
        <v>0</v>
      </c>
      <c r="L235" s="266" t="s">
        <v>2321</v>
      </c>
      <c r="M235" s="267" t="s">
        <v>102</v>
      </c>
      <c r="N235" s="267">
        <f>VLOOKUP(B235,'HECVAT - Full | Vendor Response'!A:E,3,FALSE)</f>
        <v>0</v>
      </c>
      <c r="O235" s="267" t="str">
        <f>IF(LEN(VLOOKUP(B235,'Analyst Report'!$A:$I,7,FALSE))= 0,"",VLOOKUP(B235,'Analyst Report'!$A:$I,7,FALSE))</f>
        <v/>
      </c>
      <c r="P235" s="267">
        <f t="shared" si="25"/>
        <v>0</v>
      </c>
      <c r="Q235" s="267">
        <v>20</v>
      </c>
      <c r="R235" s="267">
        <f>IF(LEN(VLOOKUP(B235,'Analyst Report'!$A$31:$I$288,9,FALSE))=0,VLOOKUP(B235,'Analyst Report'!$A$31:$I$288,8,FALSE),VLOOKUP(B235,'Analyst Report'!$A$31:$I$288,9,FALSE))</f>
        <v>20</v>
      </c>
      <c r="S235" s="267">
        <f t="shared" si="22"/>
        <v>0</v>
      </c>
      <c r="T235" s="267">
        <f t="shared" si="26"/>
        <v>0</v>
      </c>
      <c r="U235" s="164" t="s">
        <v>115</v>
      </c>
      <c r="V235" s="164" t="s">
        <v>115</v>
      </c>
      <c r="W235" s="164" t="s">
        <v>115</v>
      </c>
      <c r="X235" s="164" t="s">
        <v>115</v>
      </c>
      <c r="Y235" s="164" t="s">
        <v>115</v>
      </c>
      <c r="Z235" s="164" t="s">
        <v>115</v>
      </c>
      <c r="AA235" s="164" t="s">
        <v>115</v>
      </c>
      <c r="AB235" s="164" t="s">
        <v>115</v>
      </c>
    </row>
    <row r="236" spans="1:28" ht="60">
      <c r="A236" s="169">
        <f t="shared" si="23"/>
        <v>219</v>
      </c>
      <c r="B236" s="170" t="s">
        <v>487</v>
      </c>
      <c r="C236" s="170" t="s">
        <v>3223</v>
      </c>
      <c r="D236" s="170" t="str">
        <f>VLOOKUP(B236,'HECVAT - Full | Vendor Response'!A$4:D$320,4,TRUE)</f>
        <v>Weave saves all audit logs in AWS cloudwatch</v>
      </c>
      <c r="E236" s="265" t="s">
        <v>467</v>
      </c>
      <c r="F236" s="265"/>
      <c r="G236" s="265"/>
      <c r="H236" s="175" t="s">
        <v>2321</v>
      </c>
      <c r="I236" s="175" t="s">
        <v>3203</v>
      </c>
      <c r="J236" s="266" t="str">
        <f t="shared" si="27"/>
        <v>FALSE</v>
      </c>
      <c r="K236" s="173">
        <f t="shared" si="24"/>
        <v>0</v>
      </c>
      <c r="L236" s="266" t="s">
        <v>2321</v>
      </c>
      <c r="M236" s="267" t="s">
        <v>102</v>
      </c>
      <c r="N236" s="267">
        <f>VLOOKUP(B236,'HECVAT - Full | Vendor Response'!A:E,3,FALSE)</f>
        <v>0</v>
      </c>
      <c r="O236" s="267" t="str">
        <f>IF(LEN(VLOOKUP(B236,'Analyst Report'!$A:$I,7,FALSE))= 0,"",VLOOKUP(B236,'Analyst Report'!$A:$I,7,FALSE))</f>
        <v/>
      </c>
      <c r="P236" s="267">
        <f t="shared" si="25"/>
        <v>0</v>
      </c>
      <c r="Q236" s="267">
        <v>20</v>
      </c>
      <c r="R236" s="267">
        <f>IF(LEN(VLOOKUP(B236,'Analyst Report'!$A$31:$I$288,9,FALSE))=0,VLOOKUP(B236,'Analyst Report'!$A$31:$I$288,8,FALSE),VLOOKUP(B236,'Analyst Report'!$A$31:$I$288,9,FALSE))</f>
        <v>20</v>
      </c>
      <c r="S236" s="267">
        <f t="shared" si="22"/>
        <v>0</v>
      </c>
      <c r="T236" s="267">
        <f t="shared" si="26"/>
        <v>0</v>
      </c>
      <c r="U236" s="164" t="s">
        <v>115</v>
      </c>
      <c r="V236" s="164" t="s">
        <v>115</v>
      </c>
      <c r="W236" s="164" t="s">
        <v>115</v>
      </c>
      <c r="X236" s="164" t="s">
        <v>115</v>
      </c>
      <c r="Y236" s="164" t="s">
        <v>115</v>
      </c>
      <c r="Z236" s="164" t="s">
        <v>115</v>
      </c>
      <c r="AA236" s="164" t="s">
        <v>115</v>
      </c>
      <c r="AB236" s="164" t="s">
        <v>115</v>
      </c>
    </row>
    <row r="237" spans="1:28" ht="60">
      <c r="A237" s="169">
        <f t="shared" si="23"/>
        <v>220</v>
      </c>
      <c r="B237" s="170" t="s">
        <v>488</v>
      </c>
      <c r="C237" s="170" t="s">
        <v>3224</v>
      </c>
      <c r="D237" s="170" t="str">
        <f>VLOOKUP(B237,'HECVAT - Full | Vendor Response'!A$4:D$320,4,TRUE)</f>
        <v>Weave saves all audit logs in AWS cloudwatch</v>
      </c>
      <c r="E237" s="265" t="s">
        <v>467</v>
      </c>
      <c r="F237" s="265"/>
      <c r="G237" s="265"/>
      <c r="H237" s="175" t="s">
        <v>2321</v>
      </c>
      <c r="I237" s="175" t="s">
        <v>3203</v>
      </c>
      <c r="J237" s="266" t="str">
        <f t="shared" si="27"/>
        <v>FALSE</v>
      </c>
      <c r="K237" s="173">
        <f t="shared" si="24"/>
        <v>0</v>
      </c>
      <c r="L237" s="266" t="s">
        <v>2321</v>
      </c>
      <c r="M237" s="267" t="s">
        <v>102</v>
      </c>
      <c r="N237" s="267">
        <f>VLOOKUP(B237,'HECVAT - Full | Vendor Response'!A:E,3,FALSE)</f>
        <v>0</v>
      </c>
      <c r="O237" s="267" t="str">
        <f>IF(LEN(VLOOKUP(B237,'Analyst Report'!$A:$I,7,FALSE))= 0,"",VLOOKUP(B237,'Analyst Report'!$A:$I,7,FALSE))</f>
        <v/>
      </c>
      <c r="P237" s="267">
        <f t="shared" si="25"/>
        <v>0</v>
      </c>
      <c r="Q237" s="267">
        <v>20</v>
      </c>
      <c r="R237" s="267">
        <f>IF(LEN(VLOOKUP(B237,'Analyst Report'!$A$31:$I$288,9,FALSE))=0,VLOOKUP(B237,'Analyst Report'!$A$31:$I$288,8,FALSE),VLOOKUP(B237,'Analyst Report'!$A$31:$I$288,9,FALSE))</f>
        <v>20</v>
      </c>
      <c r="S237" s="267">
        <f t="shared" si="22"/>
        <v>0</v>
      </c>
      <c r="T237" s="267">
        <f t="shared" si="26"/>
        <v>0</v>
      </c>
      <c r="U237" s="164" t="s">
        <v>115</v>
      </c>
      <c r="V237" s="164" t="s">
        <v>115</v>
      </c>
      <c r="W237" s="164" t="s">
        <v>115</v>
      </c>
      <c r="X237" s="164" t="s">
        <v>115</v>
      </c>
      <c r="Y237" s="164" t="s">
        <v>115</v>
      </c>
      <c r="Z237" s="164" t="s">
        <v>115</v>
      </c>
      <c r="AA237" s="164" t="s">
        <v>115</v>
      </c>
      <c r="AB237" s="164" t="s">
        <v>115</v>
      </c>
    </row>
    <row r="238" spans="1:28" ht="60">
      <c r="A238" s="169">
        <f t="shared" si="23"/>
        <v>221</v>
      </c>
      <c r="B238" s="170" t="s">
        <v>489</v>
      </c>
      <c r="C238" s="170" t="s">
        <v>3225</v>
      </c>
      <c r="D238" s="170" t="str">
        <f>VLOOKUP(B238,'HECVAT - Full | Vendor Response'!A$4:D$320,4,TRUE)</f>
        <v>Weave saves all audit logs in AWS cloudwatch</v>
      </c>
      <c r="E238" s="265" t="s">
        <v>467</v>
      </c>
      <c r="F238" s="265"/>
      <c r="G238" s="265"/>
      <c r="H238" s="175" t="s">
        <v>2321</v>
      </c>
      <c r="I238" s="175" t="s">
        <v>3203</v>
      </c>
      <c r="J238" s="266" t="str">
        <f t="shared" si="27"/>
        <v>FALSE</v>
      </c>
      <c r="K238" s="173">
        <f t="shared" si="24"/>
        <v>0</v>
      </c>
      <c r="L238" s="266" t="s">
        <v>2321</v>
      </c>
      <c r="M238" s="267" t="s">
        <v>102</v>
      </c>
      <c r="N238" s="267">
        <f>VLOOKUP(B238,'HECVAT - Full | Vendor Response'!A:E,3,FALSE)</f>
        <v>0</v>
      </c>
      <c r="O238" s="267" t="str">
        <f>IF(LEN(VLOOKUP(B238,'Analyst Report'!$A:$I,7,FALSE))= 0,"",VLOOKUP(B238,'Analyst Report'!$A:$I,7,FALSE))</f>
        <v/>
      </c>
      <c r="P238" s="267">
        <f t="shared" si="25"/>
        <v>0</v>
      </c>
      <c r="Q238" s="267">
        <v>20</v>
      </c>
      <c r="R238" s="267">
        <f>IF(LEN(VLOOKUP(B238,'Analyst Report'!$A$31:$I$288,9,FALSE))=0,VLOOKUP(B238,'Analyst Report'!$A$31:$I$288,8,FALSE),VLOOKUP(B238,'Analyst Report'!$A$31:$I$288,9,FALSE))</f>
        <v>20</v>
      </c>
      <c r="S238" s="267">
        <f t="shared" si="22"/>
        <v>0</v>
      </c>
      <c r="T238" s="267">
        <f t="shared" si="26"/>
        <v>0</v>
      </c>
      <c r="U238" s="164" t="s">
        <v>115</v>
      </c>
      <c r="V238" s="164" t="s">
        <v>115</v>
      </c>
      <c r="W238" s="164" t="s">
        <v>115</v>
      </c>
      <c r="X238" s="164" t="s">
        <v>115</v>
      </c>
      <c r="Y238" s="164" t="s">
        <v>115</v>
      </c>
      <c r="Z238" s="164" t="s">
        <v>115</v>
      </c>
      <c r="AA238" s="164" t="s">
        <v>115</v>
      </c>
      <c r="AB238" s="164" t="s">
        <v>115</v>
      </c>
    </row>
    <row r="239" spans="1:28" ht="60">
      <c r="A239" s="169">
        <f t="shared" si="23"/>
        <v>222</v>
      </c>
      <c r="B239" s="170" t="s">
        <v>490</v>
      </c>
      <c r="C239" s="170" t="s">
        <v>3226</v>
      </c>
      <c r="D239" s="170" t="str">
        <f>VLOOKUP(B239,'HECVAT - Full | Vendor Response'!A$4:D$320,4,TRUE)</f>
        <v>Weave saves all audit logs in AWS cloudwatch</v>
      </c>
      <c r="E239" s="265" t="s">
        <v>467</v>
      </c>
      <c r="F239" s="265"/>
      <c r="G239" s="265"/>
      <c r="H239" s="175" t="s">
        <v>2321</v>
      </c>
      <c r="I239" s="175" t="s">
        <v>3203</v>
      </c>
      <c r="J239" s="266" t="str">
        <f t="shared" si="27"/>
        <v>FALSE</v>
      </c>
      <c r="K239" s="173">
        <f t="shared" si="24"/>
        <v>0</v>
      </c>
      <c r="L239" s="266" t="s">
        <v>2321</v>
      </c>
      <c r="M239" s="267" t="s">
        <v>102</v>
      </c>
      <c r="N239" s="267">
        <f>VLOOKUP(B239,'HECVAT - Full | Vendor Response'!A:E,3,FALSE)</f>
        <v>0</v>
      </c>
      <c r="O239" s="267" t="str">
        <f>IF(LEN(VLOOKUP(B239,'Analyst Report'!$A:$I,7,FALSE))= 0,"",VLOOKUP(B239,'Analyst Report'!$A:$I,7,FALSE))</f>
        <v/>
      </c>
      <c r="P239" s="267">
        <f t="shared" si="25"/>
        <v>0</v>
      </c>
      <c r="Q239" s="267">
        <v>15</v>
      </c>
      <c r="R239" s="267">
        <f>IF(LEN(VLOOKUP(B239,'Analyst Report'!$A$31:$I$288,9,FALSE))=0,VLOOKUP(B239,'Analyst Report'!$A$31:$I$288,8,FALSE),VLOOKUP(B239,'Analyst Report'!$A$31:$I$288,9,FALSE))</f>
        <v>15</v>
      </c>
      <c r="S239" s="267">
        <f t="shared" si="22"/>
        <v>0</v>
      </c>
      <c r="T239" s="267">
        <f t="shared" si="26"/>
        <v>0</v>
      </c>
      <c r="U239" s="164" t="s">
        <v>115</v>
      </c>
      <c r="V239" s="164" t="s">
        <v>115</v>
      </c>
      <c r="W239" s="164" t="s">
        <v>115</v>
      </c>
      <c r="X239" s="164" t="s">
        <v>115</v>
      </c>
      <c r="Y239" s="164" t="s">
        <v>115</v>
      </c>
      <c r="Z239" s="164" t="s">
        <v>115</v>
      </c>
      <c r="AA239" s="164" t="s">
        <v>115</v>
      </c>
      <c r="AB239" s="164" t="s">
        <v>115</v>
      </c>
    </row>
    <row r="240" spans="1:28" ht="60">
      <c r="A240" s="169">
        <f t="shared" si="23"/>
        <v>223</v>
      </c>
      <c r="B240" s="170" t="s">
        <v>491</v>
      </c>
      <c r="C240" s="170" t="s">
        <v>3227</v>
      </c>
      <c r="D240" s="170" t="str">
        <f>VLOOKUP(B240,'HECVAT - Full | Vendor Response'!A$4:D$320,4,TRUE)</f>
        <v>Weave saves all audit logs in AWS cloudwatch</v>
      </c>
      <c r="E240" s="265" t="s">
        <v>467</v>
      </c>
      <c r="F240" s="265"/>
      <c r="G240" s="265"/>
      <c r="H240" s="175" t="s">
        <v>2321</v>
      </c>
      <c r="I240" s="175" t="s">
        <v>3203</v>
      </c>
      <c r="J240" s="266" t="str">
        <f t="shared" si="27"/>
        <v>FALSE</v>
      </c>
      <c r="K240" s="173">
        <f t="shared" si="24"/>
        <v>0</v>
      </c>
      <c r="L240" s="266" t="s">
        <v>2321</v>
      </c>
      <c r="M240" s="267" t="s">
        <v>102</v>
      </c>
      <c r="N240" s="267">
        <f>VLOOKUP(B240,'HECVAT - Full | Vendor Response'!A:E,3,FALSE)</f>
        <v>0</v>
      </c>
      <c r="O240" s="267" t="str">
        <f>IF(LEN(VLOOKUP(B240,'Analyst Report'!$A:$I,7,FALSE))= 0,"",VLOOKUP(B240,'Analyst Report'!$A:$I,7,FALSE))</f>
        <v/>
      </c>
      <c r="P240" s="267">
        <f t="shared" si="25"/>
        <v>0</v>
      </c>
      <c r="Q240" s="267">
        <v>20</v>
      </c>
      <c r="R240" s="267">
        <f>IF(LEN(VLOOKUP(B240,'Analyst Report'!$A$31:$I$288,9,FALSE))=0,VLOOKUP(B240,'Analyst Report'!$A$31:$I$288,8,FALSE),VLOOKUP(B240,'Analyst Report'!$A$31:$I$288,9,FALSE))</f>
        <v>20</v>
      </c>
      <c r="S240" s="267">
        <f t="shared" si="22"/>
        <v>0</v>
      </c>
      <c r="T240" s="267">
        <f t="shared" si="26"/>
        <v>0</v>
      </c>
      <c r="U240" s="164" t="s">
        <v>115</v>
      </c>
      <c r="V240" s="164" t="s">
        <v>115</v>
      </c>
      <c r="W240" s="164" t="s">
        <v>115</v>
      </c>
      <c r="X240" s="164" t="s">
        <v>115</v>
      </c>
      <c r="Y240" s="164" t="s">
        <v>115</v>
      </c>
      <c r="Z240" s="164" t="s">
        <v>115</v>
      </c>
      <c r="AA240" s="164" t="s">
        <v>115</v>
      </c>
      <c r="AB240" s="164" t="s">
        <v>115</v>
      </c>
    </row>
    <row r="241" spans="1:29" ht="60">
      <c r="A241" s="169">
        <f t="shared" si="23"/>
        <v>224</v>
      </c>
      <c r="B241" s="170" t="s">
        <v>492</v>
      </c>
      <c r="C241" s="170" t="s">
        <v>3228</v>
      </c>
      <c r="D241" s="170" t="str">
        <f>VLOOKUP(B241,'HECVAT - Full | Vendor Response'!A$4:D$320,4,TRUE)</f>
        <v>Weave saves all audit logs in AWS cloudwatch</v>
      </c>
      <c r="E241" s="265" t="s">
        <v>467</v>
      </c>
      <c r="F241" s="265"/>
      <c r="G241" s="265"/>
      <c r="H241" s="175" t="s">
        <v>2321</v>
      </c>
      <c r="I241" s="175" t="s">
        <v>3203</v>
      </c>
      <c r="J241" s="266" t="str">
        <f t="shared" si="27"/>
        <v>FALSE</v>
      </c>
      <c r="K241" s="173">
        <f t="shared" si="24"/>
        <v>0</v>
      </c>
      <c r="L241" s="266" t="s">
        <v>2321</v>
      </c>
      <c r="M241" s="267" t="s">
        <v>102</v>
      </c>
      <c r="N241" s="267">
        <f>VLOOKUP(B241,'HECVAT - Full | Vendor Response'!A:E,3,FALSE)</f>
        <v>0</v>
      </c>
      <c r="O241" s="267" t="str">
        <f>IF(LEN(VLOOKUP(B241,'Analyst Report'!$A:$I,7,FALSE))= 0,"",VLOOKUP(B241,'Analyst Report'!$A:$I,7,FALSE))</f>
        <v/>
      </c>
      <c r="P241" s="267">
        <f t="shared" si="25"/>
        <v>0</v>
      </c>
      <c r="Q241" s="267">
        <v>25</v>
      </c>
      <c r="R241" s="267">
        <f>IF(LEN(VLOOKUP(B241,'Analyst Report'!$A$31:$I$288,9,FALSE))=0,VLOOKUP(B241,'Analyst Report'!$A$31:$I$288,8,FALSE),VLOOKUP(B241,'Analyst Report'!$A$31:$I$288,9,FALSE))</f>
        <v>25</v>
      </c>
      <c r="S241" s="267">
        <f t="shared" si="22"/>
        <v>0</v>
      </c>
      <c r="T241" s="267">
        <f t="shared" si="26"/>
        <v>0</v>
      </c>
      <c r="U241" s="164" t="s">
        <v>115</v>
      </c>
      <c r="V241" s="164" t="s">
        <v>115</v>
      </c>
      <c r="W241" s="164" t="s">
        <v>115</v>
      </c>
      <c r="X241" s="164" t="s">
        <v>115</v>
      </c>
      <c r="Y241" s="164" t="s">
        <v>115</v>
      </c>
      <c r="Z241" s="164" t="s">
        <v>115</v>
      </c>
      <c r="AA241" s="164" t="s">
        <v>115</v>
      </c>
      <c r="AB241" s="164" t="s">
        <v>115</v>
      </c>
    </row>
    <row r="242" spans="1:29" ht="60">
      <c r="A242" s="169">
        <f t="shared" si="23"/>
        <v>225</v>
      </c>
      <c r="B242" s="170" t="s">
        <v>493</v>
      </c>
      <c r="C242" s="170" t="s">
        <v>3229</v>
      </c>
      <c r="D242" s="170" t="str">
        <f>VLOOKUP(B242,'HECVAT - Full | Vendor Response'!A$4:D$320,4,TRUE)</f>
        <v>Weave saves all audit logs in AWS cloudwatch</v>
      </c>
      <c r="E242" s="265" t="s">
        <v>467</v>
      </c>
      <c r="F242" s="265"/>
      <c r="G242" s="265"/>
      <c r="H242" s="175" t="s">
        <v>2321</v>
      </c>
      <c r="I242" s="175" t="s">
        <v>3203</v>
      </c>
      <c r="J242" s="266" t="str">
        <f t="shared" si="27"/>
        <v>FALSE</v>
      </c>
      <c r="K242" s="173">
        <f t="shared" si="24"/>
        <v>0</v>
      </c>
      <c r="L242" s="266" t="s">
        <v>2321</v>
      </c>
      <c r="M242" s="267" t="s">
        <v>102</v>
      </c>
      <c r="N242" s="267">
        <f>VLOOKUP(B242,'HECVAT - Full | Vendor Response'!A:E,3,FALSE)</f>
        <v>0</v>
      </c>
      <c r="O242" s="267" t="str">
        <f>IF(LEN(VLOOKUP(B242,'Analyst Report'!$A:$I,7,FALSE))= 0,"",VLOOKUP(B242,'Analyst Report'!$A:$I,7,FALSE))</f>
        <v/>
      </c>
      <c r="P242" s="267">
        <f t="shared" si="25"/>
        <v>0</v>
      </c>
      <c r="Q242" s="267">
        <v>20</v>
      </c>
      <c r="R242" s="267">
        <f>IF(LEN(VLOOKUP(B242,'Analyst Report'!$A$31:$I$288,9,FALSE))=0,VLOOKUP(B242,'Analyst Report'!$A$31:$I$288,8,FALSE),VLOOKUP(B242,'Analyst Report'!$A$31:$I$288,9,FALSE))</f>
        <v>20</v>
      </c>
      <c r="S242" s="267">
        <f t="shared" si="22"/>
        <v>0</v>
      </c>
      <c r="T242" s="267">
        <f t="shared" si="26"/>
        <v>0</v>
      </c>
      <c r="U242" s="164" t="s">
        <v>115</v>
      </c>
      <c r="V242" s="164" t="s">
        <v>115</v>
      </c>
      <c r="W242" s="164" t="s">
        <v>115</v>
      </c>
      <c r="X242" s="164" t="s">
        <v>115</v>
      </c>
      <c r="Y242" s="164" t="s">
        <v>115</v>
      </c>
      <c r="Z242" s="164" t="s">
        <v>115</v>
      </c>
      <c r="AA242" s="164" t="s">
        <v>115</v>
      </c>
      <c r="AB242" s="164" t="s">
        <v>115</v>
      </c>
    </row>
    <row r="243" spans="1:29" ht="60">
      <c r="A243" s="169">
        <f t="shared" si="23"/>
        <v>226</v>
      </c>
      <c r="B243" s="170" t="s">
        <v>494</v>
      </c>
      <c r="C243" s="170" t="s">
        <v>3230</v>
      </c>
      <c r="D243" s="170" t="str">
        <f>VLOOKUP(B243,'HECVAT - Full | Vendor Response'!A$4:D$320,4,TRUE)</f>
        <v>Weave saves all audit logs in AWS cloudwatch</v>
      </c>
      <c r="E243" s="265" t="s">
        <v>467</v>
      </c>
      <c r="F243" s="265"/>
      <c r="G243" s="265"/>
      <c r="H243" s="175" t="s">
        <v>2321</v>
      </c>
      <c r="I243" s="175" t="s">
        <v>3203</v>
      </c>
      <c r="J243" s="266" t="str">
        <f t="shared" si="27"/>
        <v>FALSE</v>
      </c>
      <c r="K243" s="173">
        <f t="shared" si="24"/>
        <v>0</v>
      </c>
      <c r="L243" s="266" t="s">
        <v>2321</v>
      </c>
      <c r="M243" s="267" t="s">
        <v>102</v>
      </c>
      <c r="N243" s="267">
        <f>VLOOKUP(B243,'HECVAT - Full | Vendor Response'!A:E,3,FALSE)</f>
        <v>0</v>
      </c>
      <c r="O243" s="267" t="str">
        <f>IF(LEN(VLOOKUP(B243,'Analyst Report'!$A:$I,7,FALSE))= 0,"",VLOOKUP(B243,'Analyst Report'!$A:$I,7,FALSE))</f>
        <v/>
      </c>
      <c r="P243" s="267">
        <f t="shared" si="25"/>
        <v>0</v>
      </c>
      <c r="Q243" s="267">
        <v>20</v>
      </c>
      <c r="R243" s="267">
        <f>IF(LEN(VLOOKUP(B243,'Analyst Report'!$A$31:$I$288,9,FALSE))=0,VLOOKUP(B243,'Analyst Report'!$A$31:$I$288,8,FALSE),VLOOKUP(B243,'Analyst Report'!$A$31:$I$288,9,FALSE))</f>
        <v>20</v>
      </c>
      <c r="S243" s="267">
        <f t="shared" si="22"/>
        <v>0</v>
      </c>
      <c r="T243" s="267">
        <f t="shared" si="26"/>
        <v>0</v>
      </c>
      <c r="U243" s="164" t="s">
        <v>115</v>
      </c>
      <c r="V243" s="164" t="s">
        <v>115</v>
      </c>
      <c r="W243" s="164" t="s">
        <v>115</v>
      </c>
      <c r="X243" s="164" t="s">
        <v>115</v>
      </c>
      <c r="Y243" s="164" t="s">
        <v>115</v>
      </c>
      <c r="Z243" s="164" t="s">
        <v>115</v>
      </c>
      <c r="AA243" s="164" t="s">
        <v>115</v>
      </c>
      <c r="AB243" s="164" t="s">
        <v>115</v>
      </c>
    </row>
    <row r="244" spans="1:29" ht="60">
      <c r="A244" s="169">
        <f t="shared" si="23"/>
        <v>227</v>
      </c>
      <c r="B244" s="170" t="s">
        <v>495</v>
      </c>
      <c r="C244" s="170" t="s">
        <v>3231</v>
      </c>
      <c r="D244" s="170" t="str">
        <f>VLOOKUP(B244,'HECVAT - Full | Vendor Response'!A$4:D$320,4,TRUE)</f>
        <v>Weave saves all audit logs in AWS cloudwatch</v>
      </c>
      <c r="E244" s="265" t="s">
        <v>467</v>
      </c>
      <c r="F244" s="265" t="s">
        <v>115</v>
      </c>
      <c r="G244" s="265"/>
      <c r="H244" s="175" t="s">
        <v>2321</v>
      </c>
      <c r="I244" s="175" t="s">
        <v>3203</v>
      </c>
      <c r="J244" s="266" t="str">
        <f t="shared" si="27"/>
        <v>FALSE</v>
      </c>
      <c r="K244" s="173">
        <f t="shared" si="24"/>
        <v>0</v>
      </c>
      <c r="L244" s="266" t="s">
        <v>2321</v>
      </c>
      <c r="M244" s="267" t="s">
        <v>102</v>
      </c>
      <c r="N244" s="267">
        <f>VLOOKUP(B244,'HECVAT - Full | Vendor Response'!A:E,3,FALSE)</f>
        <v>0</v>
      </c>
      <c r="O244" s="267" t="str">
        <f>IF(LEN(VLOOKUP(B244,'Analyst Report'!$A:$I,7,FALSE))= 0,"",VLOOKUP(B244,'Analyst Report'!$A:$I,7,FALSE))</f>
        <v/>
      </c>
      <c r="P244" s="267">
        <f t="shared" si="25"/>
        <v>0</v>
      </c>
      <c r="Q244" s="267">
        <v>25</v>
      </c>
      <c r="R244" s="267">
        <f>IF(LEN(VLOOKUP(B244,'Analyst Report'!$A$31:$I$288,9,FALSE))=0,VLOOKUP(B244,'Analyst Report'!$A$31:$I$288,8,FALSE),VLOOKUP(B244,'Analyst Report'!$A$31:$I$288,9,FALSE))</f>
        <v>25</v>
      </c>
      <c r="S244" s="267">
        <f t="shared" si="22"/>
        <v>0</v>
      </c>
      <c r="T244" s="267">
        <f t="shared" si="26"/>
        <v>0</v>
      </c>
      <c r="U244" s="164" t="s">
        <v>115</v>
      </c>
      <c r="V244" s="164" t="s">
        <v>115</v>
      </c>
      <c r="W244" s="164" t="s">
        <v>115</v>
      </c>
      <c r="X244" s="164" t="s">
        <v>115</v>
      </c>
      <c r="Y244" s="164" t="s">
        <v>115</v>
      </c>
      <c r="Z244" s="164" t="s">
        <v>115</v>
      </c>
      <c r="AA244" s="164" t="s">
        <v>115</v>
      </c>
      <c r="AB244" s="164" t="s">
        <v>115</v>
      </c>
    </row>
    <row r="245" spans="1:29" ht="60">
      <c r="A245" s="169">
        <f t="shared" si="23"/>
        <v>228</v>
      </c>
      <c r="B245" s="170" t="s">
        <v>496</v>
      </c>
      <c r="C245" s="170" t="s">
        <v>3232</v>
      </c>
      <c r="D245" s="170" t="str">
        <f>VLOOKUP(B245,'HECVAT - Full | Vendor Response'!A$4:D$320,4,TRUE)</f>
        <v>Weave saves all audit logs in AWS cloudwatch</v>
      </c>
      <c r="E245" s="265" t="s">
        <v>3233</v>
      </c>
      <c r="F245" s="265" t="s">
        <v>115</v>
      </c>
      <c r="G245" s="265"/>
      <c r="H245" s="175" t="s">
        <v>2326</v>
      </c>
      <c r="I245" s="175" t="s">
        <v>3234</v>
      </c>
      <c r="J245" s="266" t="str">
        <f t="shared" si="27"/>
        <v>FALSE</v>
      </c>
      <c r="K245" s="173">
        <f>IF(N$22="Yes",1,0)</f>
        <v>0</v>
      </c>
      <c r="L245" s="266" t="s">
        <v>2326</v>
      </c>
      <c r="M245" s="267" t="s">
        <v>102</v>
      </c>
      <c r="N245" s="267">
        <f>VLOOKUP(B245,'HECVAT - Full | Vendor Response'!A:E,3,FALSE)</f>
        <v>0</v>
      </c>
      <c r="O245" s="267" t="str">
        <f>IF(LEN(VLOOKUP(B245,'Analyst Report'!$A:$I,7,FALSE))= 0,"",VLOOKUP(B245,'Analyst Report'!$A:$I,7,FALSE))</f>
        <v/>
      </c>
      <c r="P245" s="267">
        <f t="shared" si="25"/>
        <v>0</v>
      </c>
      <c r="Q245" s="267">
        <v>20</v>
      </c>
      <c r="R245" s="267">
        <f>IF(LEN(VLOOKUP(B245,'Analyst Report'!$A$31:$I$288,9,FALSE))=0,VLOOKUP(B245,'Analyst Report'!$A$31:$I$288,8,FALSE),VLOOKUP(B245,'Analyst Report'!$A$31:$I$288,9,FALSE))</f>
        <v>20</v>
      </c>
      <c r="S245" s="267">
        <f t="shared" si="22"/>
        <v>0</v>
      </c>
      <c r="T245" s="267">
        <f t="shared" si="26"/>
        <v>0</v>
      </c>
      <c r="U245" s="164" t="s">
        <v>115</v>
      </c>
      <c r="V245" s="164" t="s">
        <v>115</v>
      </c>
      <c r="W245" s="164" t="s">
        <v>115</v>
      </c>
      <c r="X245" s="164" t="s">
        <v>115</v>
      </c>
      <c r="Y245" s="164" t="s">
        <v>115</v>
      </c>
      <c r="Z245" s="164" t="s">
        <v>115</v>
      </c>
      <c r="AA245" s="164" t="s">
        <v>115</v>
      </c>
      <c r="AB245" s="164" t="s">
        <v>115</v>
      </c>
    </row>
    <row r="246" spans="1:29" ht="60">
      <c r="A246" s="169">
        <f t="shared" si="23"/>
        <v>229</v>
      </c>
      <c r="B246" s="170" t="s">
        <v>497</v>
      </c>
      <c r="C246" s="170" t="s">
        <v>3235</v>
      </c>
      <c r="D246" s="170" t="str">
        <f>VLOOKUP(B246,'HECVAT - Full | Vendor Response'!A$4:D$320,4,TRUE)</f>
        <v>Weave saves all audit logs in AWS cloudwatch</v>
      </c>
      <c r="E246" s="265" t="s">
        <v>3233</v>
      </c>
      <c r="F246" s="265" t="s">
        <v>537</v>
      </c>
      <c r="G246" s="265"/>
      <c r="H246" s="175" t="s">
        <v>2326</v>
      </c>
      <c r="I246" s="175" t="s">
        <v>3234</v>
      </c>
      <c r="J246" s="266" t="str">
        <f t="shared" si="27"/>
        <v>FALSE</v>
      </c>
      <c r="K246" s="173">
        <f t="shared" ref="K246:K256" si="28">IF(N$22="Yes",1,0)</f>
        <v>0</v>
      </c>
      <c r="L246" s="266" t="s">
        <v>2326</v>
      </c>
      <c r="M246" s="267" t="s">
        <v>102</v>
      </c>
      <c r="N246" s="267">
        <f>VLOOKUP(B246,'HECVAT - Full | Vendor Response'!A:E,3,FALSE)</f>
        <v>0</v>
      </c>
      <c r="O246" s="267" t="str">
        <f>IF(LEN(VLOOKUP(B246,'Analyst Report'!$A:$I,7,FALSE))= 0,"",VLOOKUP(B246,'Analyst Report'!$A:$I,7,FALSE))</f>
        <v/>
      </c>
      <c r="P246" s="267">
        <f t="shared" si="25"/>
        <v>0</v>
      </c>
      <c r="Q246" s="267">
        <v>20</v>
      </c>
      <c r="R246" s="267">
        <f>IF(LEN(VLOOKUP(B246,'Analyst Report'!$A$31:$I$288,9,FALSE))=0,VLOOKUP(B246,'Analyst Report'!$A$31:$I$288,8,FALSE),VLOOKUP(B246,'Analyst Report'!$A$31:$I$288,9,FALSE))</f>
        <v>20</v>
      </c>
      <c r="S246" s="267">
        <f t="shared" si="22"/>
        <v>0</v>
      </c>
      <c r="T246" s="267">
        <f t="shared" si="26"/>
        <v>0</v>
      </c>
      <c r="U246" s="164" t="s">
        <v>115</v>
      </c>
      <c r="V246" s="164" t="s">
        <v>115</v>
      </c>
      <c r="W246" s="164" t="s">
        <v>115</v>
      </c>
      <c r="X246" s="164" t="s">
        <v>115</v>
      </c>
      <c r="Y246" s="164" t="s">
        <v>115</v>
      </c>
      <c r="Z246" s="164" t="s">
        <v>115</v>
      </c>
      <c r="AA246" s="164" t="s">
        <v>115</v>
      </c>
      <c r="AB246" s="164" t="s">
        <v>115</v>
      </c>
    </row>
    <row r="247" spans="1:29" ht="60">
      <c r="A247" s="169">
        <f t="shared" si="23"/>
        <v>230</v>
      </c>
      <c r="B247" s="170" t="s">
        <v>498</v>
      </c>
      <c r="C247" s="170" t="s">
        <v>3236</v>
      </c>
      <c r="D247" s="170" t="str">
        <f>VLOOKUP(B247,'HECVAT - Full | Vendor Response'!A$4:D$320,4,TRUE)</f>
        <v>Weave saves all audit logs in AWS cloudwatch</v>
      </c>
      <c r="E247" s="265" t="s">
        <v>3233</v>
      </c>
      <c r="F247" s="265" t="s">
        <v>115</v>
      </c>
      <c r="G247" s="265"/>
      <c r="H247" s="175" t="s">
        <v>2326</v>
      </c>
      <c r="I247" s="175" t="s">
        <v>3234</v>
      </c>
      <c r="J247" s="266" t="str">
        <f t="shared" si="27"/>
        <v>FALSE</v>
      </c>
      <c r="K247" s="173">
        <f t="shared" si="28"/>
        <v>0</v>
      </c>
      <c r="L247" s="266" t="s">
        <v>2326</v>
      </c>
      <c r="M247" s="267" t="s">
        <v>102</v>
      </c>
      <c r="N247" s="267">
        <f>VLOOKUP(B247,'HECVAT - Full | Vendor Response'!A:E,3,FALSE)</f>
        <v>0</v>
      </c>
      <c r="O247" s="267" t="str">
        <f>IF(LEN(VLOOKUP(B247,'Analyst Report'!$A:$I,7,FALSE))= 0,"",VLOOKUP(B247,'Analyst Report'!$A:$I,7,FALSE))</f>
        <v/>
      </c>
      <c r="P247" s="267">
        <f t="shared" si="25"/>
        <v>0</v>
      </c>
      <c r="Q247" s="267">
        <v>25</v>
      </c>
      <c r="R247" s="267">
        <f>IF(LEN(VLOOKUP(B247,'Analyst Report'!$A$31:$I$288,9,FALSE))=0,VLOOKUP(B247,'Analyst Report'!$A$31:$I$288,8,FALSE),VLOOKUP(B247,'Analyst Report'!$A$31:$I$288,9,FALSE))</f>
        <v>25</v>
      </c>
      <c r="S247" s="267">
        <f t="shared" si="22"/>
        <v>0</v>
      </c>
      <c r="T247" s="267">
        <f t="shared" si="26"/>
        <v>0</v>
      </c>
      <c r="U247" s="164" t="s">
        <v>115</v>
      </c>
      <c r="V247" s="164" t="s">
        <v>115</v>
      </c>
      <c r="W247" s="164" t="s">
        <v>115</v>
      </c>
      <c r="X247" s="164" t="s">
        <v>115</v>
      </c>
      <c r="Y247" s="164" t="s">
        <v>115</v>
      </c>
      <c r="Z247" s="164" t="s">
        <v>115</v>
      </c>
      <c r="AA247" s="164" t="s">
        <v>115</v>
      </c>
      <c r="AB247" s="164" t="s">
        <v>115</v>
      </c>
    </row>
    <row r="248" spans="1:29" ht="60">
      <c r="A248" s="169">
        <f t="shared" si="23"/>
        <v>231</v>
      </c>
      <c r="B248" s="170" t="s">
        <v>499</v>
      </c>
      <c r="C248" s="170" t="s">
        <v>3237</v>
      </c>
      <c r="D248" s="170" t="str">
        <f>VLOOKUP(B248,'HECVAT - Full | Vendor Response'!A$4:D$320,4,TRUE)</f>
        <v>Weave saves all audit logs in AWS cloudwatch</v>
      </c>
      <c r="E248" s="265" t="s">
        <v>3233</v>
      </c>
      <c r="F248" s="265" t="s">
        <v>115</v>
      </c>
      <c r="G248" s="265"/>
      <c r="H248" s="175" t="s">
        <v>2326</v>
      </c>
      <c r="I248" s="175" t="s">
        <v>3234</v>
      </c>
      <c r="J248" s="266" t="str">
        <f t="shared" si="27"/>
        <v>FALSE</v>
      </c>
      <c r="K248" s="173">
        <f t="shared" si="28"/>
        <v>0</v>
      </c>
      <c r="L248" s="266" t="s">
        <v>2326</v>
      </c>
      <c r="M248" s="267" t="s">
        <v>102</v>
      </c>
      <c r="N248" s="267">
        <f>VLOOKUP(B248,'HECVAT - Full | Vendor Response'!A:E,3,FALSE)</f>
        <v>0</v>
      </c>
      <c r="O248" s="267" t="str">
        <f>IF(LEN(VLOOKUP(B248,'Analyst Report'!$A:$I,7,FALSE))= 0,"",VLOOKUP(B248,'Analyst Report'!$A:$I,7,FALSE))</f>
        <v/>
      </c>
      <c r="P248" s="267">
        <f t="shared" si="25"/>
        <v>0</v>
      </c>
      <c r="Q248" s="267">
        <v>20</v>
      </c>
      <c r="R248" s="267">
        <f>IF(LEN(VLOOKUP(B248,'Analyst Report'!$A$31:$I$288,9,FALSE))=0,VLOOKUP(B248,'Analyst Report'!$A$31:$I$288,8,FALSE),VLOOKUP(B248,'Analyst Report'!$A$31:$I$288,9,FALSE))</f>
        <v>20</v>
      </c>
      <c r="S248" s="267">
        <f t="shared" si="22"/>
        <v>0</v>
      </c>
      <c r="T248" s="267">
        <f t="shared" si="26"/>
        <v>0</v>
      </c>
      <c r="U248" s="164" t="s">
        <v>115</v>
      </c>
      <c r="V248" s="164" t="s">
        <v>115</v>
      </c>
      <c r="W248" s="164" t="s">
        <v>115</v>
      </c>
      <c r="X248" s="164" t="s">
        <v>115</v>
      </c>
      <c r="Y248" s="164" t="s">
        <v>115</v>
      </c>
      <c r="Z248" s="164" t="s">
        <v>115</v>
      </c>
      <c r="AA248" s="164" t="s">
        <v>115</v>
      </c>
      <c r="AB248" s="164" t="s">
        <v>115</v>
      </c>
    </row>
    <row r="249" spans="1:29" ht="60">
      <c r="A249" s="169">
        <f t="shared" si="23"/>
        <v>232</v>
      </c>
      <c r="B249" s="170" t="s">
        <v>500</v>
      </c>
      <c r="C249" s="170" t="s">
        <v>3238</v>
      </c>
      <c r="D249" s="170" t="str">
        <f>VLOOKUP(B249,'HECVAT - Full | Vendor Response'!A$4:D$320,4,TRUE)</f>
        <v>Weave saves all audit logs in AWS cloudwatch</v>
      </c>
      <c r="E249" s="265" t="s">
        <v>3233</v>
      </c>
      <c r="F249" s="265" t="s">
        <v>115</v>
      </c>
      <c r="G249" s="265"/>
      <c r="H249" s="175" t="s">
        <v>2326</v>
      </c>
      <c r="I249" s="175" t="s">
        <v>3234</v>
      </c>
      <c r="J249" s="266" t="str">
        <f t="shared" si="27"/>
        <v>FALSE</v>
      </c>
      <c r="K249" s="173">
        <f t="shared" si="28"/>
        <v>0</v>
      </c>
      <c r="L249" s="266" t="s">
        <v>2326</v>
      </c>
      <c r="M249" s="267" t="s">
        <v>102</v>
      </c>
      <c r="N249" s="267">
        <f>VLOOKUP(B249,'HECVAT - Full | Vendor Response'!A:E,3,FALSE)</f>
        <v>0</v>
      </c>
      <c r="O249" s="267" t="str">
        <f>IF(LEN(VLOOKUP(B249,'Analyst Report'!$A:$I,7,FALSE))= 0,"",VLOOKUP(B249,'Analyst Report'!$A:$I,7,FALSE))</f>
        <v/>
      </c>
      <c r="P249" s="267">
        <f t="shared" si="25"/>
        <v>0</v>
      </c>
      <c r="Q249" s="267">
        <v>20</v>
      </c>
      <c r="R249" s="267">
        <f>IF(LEN(VLOOKUP(B249,'Analyst Report'!$A$31:$I$288,9,FALSE))=0,VLOOKUP(B249,'Analyst Report'!$A$31:$I$288,8,FALSE),VLOOKUP(B249,'Analyst Report'!$A$31:$I$288,9,FALSE))</f>
        <v>20</v>
      </c>
      <c r="S249" s="267">
        <f t="shared" si="22"/>
        <v>0</v>
      </c>
      <c r="T249" s="267">
        <f t="shared" si="26"/>
        <v>0</v>
      </c>
      <c r="U249" s="164" t="s">
        <v>115</v>
      </c>
      <c r="V249" s="164" t="s">
        <v>115</v>
      </c>
      <c r="W249" s="164" t="s">
        <v>115</v>
      </c>
      <c r="X249" s="164" t="s">
        <v>115</v>
      </c>
      <c r="Y249" s="164" t="s">
        <v>115</v>
      </c>
      <c r="Z249" s="164" t="s">
        <v>115</v>
      </c>
      <c r="AA249" s="164" t="s">
        <v>115</v>
      </c>
      <c r="AB249" s="164" t="s">
        <v>115</v>
      </c>
    </row>
    <row r="250" spans="1:29" ht="60">
      <c r="A250" s="169">
        <f t="shared" si="23"/>
        <v>233</v>
      </c>
      <c r="B250" s="170" t="s">
        <v>501</v>
      </c>
      <c r="C250" s="170" t="s">
        <v>3239</v>
      </c>
      <c r="D250" s="170" t="str">
        <f>VLOOKUP(B250,'HECVAT - Full | Vendor Response'!A$4:D$320,4,TRUE)</f>
        <v>Weave saves all audit logs in AWS cloudwatch</v>
      </c>
      <c r="E250" s="265" t="s">
        <v>3233</v>
      </c>
      <c r="F250" s="265" t="s">
        <v>115</v>
      </c>
      <c r="G250" s="265"/>
      <c r="H250" s="175" t="s">
        <v>2326</v>
      </c>
      <c r="I250" s="175" t="s">
        <v>3234</v>
      </c>
      <c r="J250" s="266" t="str">
        <f t="shared" si="27"/>
        <v>FALSE</v>
      </c>
      <c r="K250" s="173">
        <f t="shared" si="28"/>
        <v>0</v>
      </c>
      <c r="L250" s="266" t="s">
        <v>2326</v>
      </c>
      <c r="M250" s="267" t="s">
        <v>102</v>
      </c>
      <c r="N250" s="267">
        <f>VLOOKUP(B250,'HECVAT - Full | Vendor Response'!A:E,3,FALSE)</f>
        <v>0</v>
      </c>
      <c r="O250" s="267" t="str">
        <f>IF(LEN(VLOOKUP(B250,'Analyst Report'!$A:$I,7,FALSE))= 0,"",VLOOKUP(B250,'Analyst Report'!$A:$I,7,FALSE))</f>
        <v/>
      </c>
      <c r="P250" s="267">
        <f t="shared" si="25"/>
        <v>0</v>
      </c>
      <c r="Q250" s="267">
        <v>20</v>
      </c>
      <c r="R250" s="267">
        <f>IF(LEN(VLOOKUP(B250,'Analyst Report'!$A$31:$I$288,9,FALSE))=0,VLOOKUP(B250,'Analyst Report'!$A$31:$I$288,8,FALSE),VLOOKUP(B250,'Analyst Report'!$A$31:$I$288,9,FALSE))</f>
        <v>20</v>
      </c>
      <c r="S250" s="267">
        <f t="shared" si="22"/>
        <v>0</v>
      </c>
      <c r="T250" s="267">
        <f t="shared" si="26"/>
        <v>0</v>
      </c>
      <c r="U250" s="164" t="s">
        <v>115</v>
      </c>
      <c r="V250" s="164" t="s">
        <v>115</v>
      </c>
      <c r="W250" s="164" t="s">
        <v>115</v>
      </c>
      <c r="X250" s="164" t="s">
        <v>115</v>
      </c>
      <c r="Y250" s="164" t="s">
        <v>115</v>
      </c>
      <c r="Z250" s="164" t="s">
        <v>115</v>
      </c>
      <c r="AA250" s="164" t="s">
        <v>115</v>
      </c>
      <c r="AB250" s="164" t="s">
        <v>115</v>
      </c>
    </row>
    <row r="251" spans="1:29" ht="60">
      <c r="A251" s="169">
        <f t="shared" si="23"/>
        <v>234</v>
      </c>
      <c r="B251" s="170" t="s">
        <v>502</v>
      </c>
      <c r="C251" s="170" t="s">
        <v>3240</v>
      </c>
      <c r="D251" s="170" t="str">
        <f>VLOOKUP(B251,'HECVAT - Full | Vendor Response'!A$4:D$320,4,TRUE)</f>
        <v>Weave saves all audit logs in AWS cloudwatch</v>
      </c>
      <c r="E251" s="265" t="s">
        <v>3233</v>
      </c>
      <c r="F251" s="265" t="s">
        <v>115</v>
      </c>
      <c r="G251" s="265"/>
      <c r="H251" s="175" t="s">
        <v>2326</v>
      </c>
      <c r="I251" s="175" t="s">
        <v>3234</v>
      </c>
      <c r="J251" s="266" t="str">
        <f t="shared" si="27"/>
        <v>FALSE</v>
      </c>
      <c r="K251" s="173">
        <f t="shared" si="28"/>
        <v>0</v>
      </c>
      <c r="L251" s="266" t="s">
        <v>2326</v>
      </c>
      <c r="M251" s="267" t="s">
        <v>102</v>
      </c>
      <c r="N251" s="267">
        <f>VLOOKUP(B251,'HECVAT - Full | Vendor Response'!A:E,3,FALSE)</f>
        <v>0</v>
      </c>
      <c r="O251" s="267" t="str">
        <f>IF(LEN(VLOOKUP(B251,'Analyst Report'!$A:$I,7,FALSE))= 0,"",VLOOKUP(B251,'Analyst Report'!$A:$I,7,FALSE))</f>
        <v/>
      </c>
      <c r="P251" s="267">
        <f t="shared" si="25"/>
        <v>0</v>
      </c>
      <c r="Q251" s="267">
        <v>10</v>
      </c>
      <c r="R251" s="267">
        <f>IF(LEN(VLOOKUP(B251,'Analyst Report'!$A$31:$I$288,9,FALSE))=0,VLOOKUP(B251,'Analyst Report'!$A$31:$I$288,8,FALSE),VLOOKUP(B251,'Analyst Report'!$A$31:$I$288,9,FALSE))</f>
        <v>10</v>
      </c>
      <c r="S251" s="267">
        <f t="shared" si="22"/>
        <v>0</v>
      </c>
      <c r="T251" s="267">
        <f t="shared" si="26"/>
        <v>0</v>
      </c>
      <c r="U251" s="164" t="s">
        <v>115</v>
      </c>
      <c r="V251" s="164" t="s">
        <v>115</v>
      </c>
      <c r="W251" s="164" t="s">
        <v>115</v>
      </c>
      <c r="X251" s="164" t="s">
        <v>115</v>
      </c>
      <c r="Y251" s="164" t="s">
        <v>115</v>
      </c>
      <c r="Z251" s="164" t="s">
        <v>115</v>
      </c>
      <c r="AA251" s="164" t="s">
        <v>115</v>
      </c>
      <c r="AB251" s="164" t="s">
        <v>115</v>
      </c>
    </row>
    <row r="252" spans="1:29" ht="60">
      <c r="A252" s="169">
        <f t="shared" si="23"/>
        <v>235</v>
      </c>
      <c r="B252" s="170" t="s">
        <v>503</v>
      </c>
      <c r="C252" s="170" t="s">
        <v>3241</v>
      </c>
      <c r="D252" s="170" t="str">
        <f>VLOOKUP(B252,'HECVAT - Full | Vendor Response'!A$4:D$320,4,TRUE)</f>
        <v>Weave saves all audit logs in AWS cloudwatch</v>
      </c>
      <c r="E252" s="265" t="s">
        <v>3233</v>
      </c>
      <c r="F252" s="265" t="s">
        <v>115</v>
      </c>
      <c r="G252" s="265"/>
      <c r="H252" s="175" t="s">
        <v>2326</v>
      </c>
      <c r="I252" s="175" t="s">
        <v>3234</v>
      </c>
      <c r="J252" s="266" t="str">
        <f t="shared" si="27"/>
        <v>FALSE</v>
      </c>
      <c r="K252" s="173">
        <f t="shared" si="28"/>
        <v>0</v>
      </c>
      <c r="L252" s="266" t="s">
        <v>2326</v>
      </c>
      <c r="M252" s="267" t="s">
        <v>102</v>
      </c>
      <c r="N252" s="267">
        <f>VLOOKUP(B252,'HECVAT - Full | Vendor Response'!A:E,3,FALSE)</f>
        <v>0</v>
      </c>
      <c r="O252" s="267" t="str">
        <f>IF(LEN(VLOOKUP(B252,'Analyst Report'!$A:$I,7,FALSE))= 0,"",VLOOKUP(B252,'Analyst Report'!$A:$I,7,FALSE))</f>
        <v/>
      </c>
      <c r="P252" s="267">
        <f t="shared" si="25"/>
        <v>0</v>
      </c>
      <c r="Q252" s="267">
        <v>10</v>
      </c>
      <c r="R252" s="267">
        <f>IF(LEN(VLOOKUP(B252,'Analyst Report'!$A$31:$I$288,9,FALSE))=0,VLOOKUP(B252,'Analyst Report'!$A$31:$I$288,8,FALSE),VLOOKUP(B252,'Analyst Report'!$A$31:$I$288,9,FALSE))</f>
        <v>10</v>
      </c>
      <c r="S252" s="267">
        <f t="shared" si="22"/>
        <v>0</v>
      </c>
      <c r="T252" s="267">
        <f t="shared" si="26"/>
        <v>0</v>
      </c>
      <c r="U252" s="164" t="s">
        <v>115</v>
      </c>
      <c r="V252" s="164" t="s">
        <v>115</v>
      </c>
      <c r="W252" s="164" t="s">
        <v>115</v>
      </c>
      <c r="X252" s="164" t="s">
        <v>115</v>
      </c>
      <c r="Y252" s="164" t="s">
        <v>115</v>
      </c>
      <c r="Z252" s="164" t="s">
        <v>115</v>
      </c>
      <c r="AA252" s="164" t="s">
        <v>115</v>
      </c>
      <c r="AB252" s="164" t="s">
        <v>115</v>
      </c>
    </row>
    <row r="253" spans="1:29" ht="60">
      <c r="A253" s="169">
        <f t="shared" si="23"/>
        <v>236</v>
      </c>
      <c r="B253" s="170" t="s">
        <v>504</v>
      </c>
      <c r="C253" s="170" t="s">
        <v>3242</v>
      </c>
      <c r="D253" s="170" t="str">
        <f>VLOOKUP(B253,'HECVAT - Full | Vendor Response'!A$4:D$320,4,TRUE)</f>
        <v>Weave saves all audit logs in AWS cloudwatch</v>
      </c>
      <c r="E253" s="265" t="s">
        <v>3233</v>
      </c>
      <c r="F253" s="265" t="s">
        <v>115</v>
      </c>
      <c r="G253" s="265"/>
      <c r="H253" s="175" t="s">
        <v>2326</v>
      </c>
      <c r="I253" s="175" t="s">
        <v>3234</v>
      </c>
      <c r="J253" s="266" t="str">
        <f t="shared" si="27"/>
        <v>FALSE</v>
      </c>
      <c r="K253" s="173">
        <f t="shared" si="28"/>
        <v>0</v>
      </c>
      <c r="L253" s="266" t="s">
        <v>2326</v>
      </c>
      <c r="M253" s="267" t="s">
        <v>102</v>
      </c>
      <c r="N253" s="267">
        <f>VLOOKUP(B253,'HECVAT - Full | Vendor Response'!A:E,3,FALSE)</f>
        <v>0</v>
      </c>
      <c r="O253" s="267" t="str">
        <f>IF(LEN(VLOOKUP(B253,'Analyst Report'!$A:$I,7,FALSE))= 0,"",VLOOKUP(B253,'Analyst Report'!$A:$I,7,FALSE))</f>
        <v/>
      </c>
      <c r="P253" s="267">
        <f t="shared" si="25"/>
        <v>0</v>
      </c>
      <c r="Q253" s="267">
        <v>10</v>
      </c>
      <c r="R253" s="267">
        <f>IF(LEN(VLOOKUP(B253,'Analyst Report'!$A$31:$I$288,9,FALSE))=0,VLOOKUP(B253,'Analyst Report'!$A$31:$I$288,8,FALSE),VLOOKUP(B253,'Analyst Report'!$A$31:$I$288,9,FALSE))</f>
        <v>10</v>
      </c>
      <c r="S253" s="267">
        <f t="shared" si="22"/>
        <v>0</v>
      </c>
      <c r="T253" s="267">
        <f t="shared" si="26"/>
        <v>0</v>
      </c>
      <c r="U253" s="164" t="s">
        <v>115</v>
      </c>
      <c r="V253" s="164" t="s">
        <v>115</v>
      </c>
      <c r="W253" s="164" t="s">
        <v>115</v>
      </c>
      <c r="X253" s="164" t="s">
        <v>115</v>
      </c>
      <c r="Y253" s="164" t="s">
        <v>115</v>
      </c>
      <c r="Z253" s="164" t="s">
        <v>115</v>
      </c>
      <c r="AA253" s="164" t="s">
        <v>115</v>
      </c>
      <c r="AB253" s="164" t="s">
        <v>115</v>
      </c>
    </row>
    <row r="254" spans="1:29" ht="60">
      <c r="A254" s="169">
        <f t="shared" si="23"/>
        <v>237</v>
      </c>
      <c r="B254" s="170" t="s">
        <v>505</v>
      </c>
      <c r="C254" s="170" t="s">
        <v>3243</v>
      </c>
      <c r="D254" s="170" t="str">
        <f>VLOOKUP(B254,'HECVAT - Full | Vendor Response'!A$4:D$320,4,TRUE)</f>
        <v>Weave saves all audit logs in AWS cloudwatch</v>
      </c>
      <c r="E254" s="265" t="s">
        <v>3233</v>
      </c>
      <c r="F254" s="265" t="s">
        <v>115</v>
      </c>
      <c r="G254" s="265"/>
      <c r="H254" s="175" t="s">
        <v>2326</v>
      </c>
      <c r="I254" s="175" t="s">
        <v>3234</v>
      </c>
      <c r="J254" s="266" t="str">
        <f t="shared" si="27"/>
        <v>FALSE</v>
      </c>
      <c r="K254" s="173">
        <f t="shared" si="28"/>
        <v>0</v>
      </c>
      <c r="L254" s="266" t="s">
        <v>2326</v>
      </c>
      <c r="M254" s="267" t="s">
        <v>100</v>
      </c>
      <c r="N254" s="267">
        <f>VLOOKUP(B254,'HECVAT - Full | Vendor Response'!A:E,3,FALSE)</f>
        <v>0</v>
      </c>
      <c r="O254" s="267" t="str">
        <f>IF(LEN(VLOOKUP(B254,'Analyst Report'!$A:$I,7,FALSE))= 0,"",VLOOKUP(B254,'Analyst Report'!$A:$I,7,FALSE))</f>
        <v/>
      </c>
      <c r="P254" s="267">
        <f t="shared" si="25"/>
        <v>0</v>
      </c>
      <c r="Q254" s="267">
        <v>25</v>
      </c>
      <c r="R254" s="267">
        <f>IF(LEN(VLOOKUP(B254,'Analyst Report'!$A$31:$I$288,9,FALSE))=0,VLOOKUP(B254,'Analyst Report'!$A$31:$I$288,8,FALSE),VLOOKUP(B254,'Analyst Report'!$A$31:$I$288,9,FALSE))</f>
        <v>25</v>
      </c>
      <c r="S254" s="267">
        <f t="shared" si="22"/>
        <v>0</v>
      </c>
      <c r="T254" s="267">
        <f t="shared" si="26"/>
        <v>0</v>
      </c>
      <c r="U254" s="164" t="s">
        <v>115</v>
      </c>
      <c r="V254" s="164" t="s">
        <v>115</v>
      </c>
      <c r="W254" s="164" t="s">
        <v>115</v>
      </c>
      <c r="X254" s="164" t="s">
        <v>115</v>
      </c>
      <c r="Y254" s="164" t="s">
        <v>115</v>
      </c>
      <c r="Z254" s="164" t="s">
        <v>115</v>
      </c>
      <c r="AA254" s="164" t="s">
        <v>115</v>
      </c>
      <c r="AB254" s="164" t="s">
        <v>115</v>
      </c>
    </row>
    <row r="255" spans="1:29" ht="60">
      <c r="A255" s="169">
        <f t="shared" si="23"/>
        <v>238</v>
      </c>
      <c r="B255" s="170" t="s">
        <v>506</v>
      </c>
      <c r="C255" s="170" t="s">
        <v>3244</v>
      </c>
      <c r="D255" s="170" t="str">
        <f>VLOOKUP(B255,'HECVAT - Full | Vendor Response'!A$4:D$320,4,TRUE)</f>
        <v>Weave saves all audit logs in AWS cloudwatch</v>
      </c>
      <c r="E255" s="265" t="s">
        <v>3233</v>
      </c>
      <c r="F255" s="265" t="s">
        <v>115</v>
      </c>
      <c r="G255" s="265"/>
      <c r="H255" s="175" t="s">
        <v>2326</v>
      </c>
      <c r="I255" s="175" t="s">
        <v>3234</v>
      </c>
      <c r="J255" s="266" t="str">
        <f t="shared" si="27"/>
        <v>FALSE</v>
      </c>
      <c r="K255" s="173">
        <f t="shared" si="28"/>
        <v>0</v>
      </c>
      <c r="L255" s="266" t="s">
        <v>2326</v>
      </c>
      <c r="M255" s="267" t="s">
        <v>100</v>
      </c>
      <c r="N255" s="267">
        <f>VLOOKUP(B255,'HECVAT - Full | Vendor Response'!A:E,3,FALSE)</f>
        <v>0</v>
      </c>
      <c r="O255" s="267" t="str">
        <f>IF(LEN(VLOOKUP(B255,'Analyst Report'!$A:$I,7,FALSE))= 0,"",VLOOKUP(B255,'Analyst Report'!$A:$I,7,FALSE))</f>
        <v/>
      </c>
      <c r="P255" s="267">
        <f t="shared" si="25"/>
        <v>0</v>
      </c>
      <c r="Q255" s="267">
        <v>25</v>
      </c>
      <c r="R255" s="267">
        <f>IF(LEN(VLOOKUP(B255,'Analyst Report'!$A$31:$I$288,9,FALSE))=0,VLOOKUP(B255,'Analyst Report'!$A$31:$I$288,8,FALSE),VLOOKUP(B255,'Analyst Report'!$A$31:$I$288,9,FALSE))</f>
        <v>25</v>
      </c>
      <c r="S255" s="267">
        <f t="shared" si="22"/>
        <v>0</v>
      </c>
      <c r="T255" s="267">
        <f t="shared" si="26"/>
        <v>0</v>
      </c>
      <c r="U255" s="164" t="s">
        <v>115</v>
      </c>
      <c r="V255" s="164" t="s">
        <v>115</v>
      </c>
      <c r="W255" s="164" t="s">
        <v>115</v>
      </c>
      <c r="X255" s="164" t="s">
        <v>115</v>
      </c>
      <c r="Y255" s="164" t="s">
        <v>115</v>
      </c>
      <c r="Z255" s="164" t="s">
        <v>115</v>
      </c>
      <c r="AA255" s="164" t="s">
        <v>115</v>
      </c>
      <c r="AB255" s="164" t="s">
        <v>115</v>
      </c>
    </row>
    <row r="256" spans="1:29" ht="90">
      <c r="A256" s="169">
        <f t="shared" si="23"/>
        <v>239</v>
      </c>
      <c r="B256" s="170" t="s">
        <v>507</v>
      </c>
      <c r="C256" s="170" t="s">
        <v>3245</v>
      </c>
      <c r="D256" s="170" t="str">
        <f>VLOOKUP(B256,'HECVAT - Full | Vendor Response'!A$4:D$320,4,TRUE)</f>
        <v>Weave saves all audit logs in AWS cloudwatch</v>
      </c>
      <c r="E256" s="265" t="s">
        <v>3233</v>
      </c>
      <c r="F256" s="265" t="s">
        <v>115</v>
      </c>
      <c r="G256" s="265"/>
      <c r="H256" s="175" t="s">
        <v>2326</v>
      </c>
      <c r="I256" s="175" t="s">
        <v>3234</v>
      </c>
      <c r="J256" s="266" t="str">
        <f t="shared" si="27"/>
        <v>FALSE</v>
      </c>
      <c r="K256" s="173">
        <f t="shared" si="28"/>
        <v>0</v>
      </c>
      <c r="L256" s="266" t="s">
        <v>2326</v>
      </c>
      <c r="M256" s="267" t="s">
        <v>102</v>
      </c>
      <c r="N256" s="267">
        <f>VLOOKUP(B256,'HECVAT - Full | Vendor Response'!A:E,3,FALSE)</f>
        <v>0</v>
      </c>
      <c r="O256" s="267" t="str">
        <f>IF(LEN(VLOOKUP(B256,'Analyst Report'!$A:$I,7,FALSE))= 0,"",VLOOKUP(B256,'Analyst Report'!$A:$I,7,FALSE))</f>
        <v/>
      </c>
      <c r="P256" s="267">
        <f t="shared" si="25"/>
        <v>0</v>
      </c>
      <c r="Q256" s="267">
        <v>15</v>
      </c>
      <c r="R256" s="267">
        <f>IF(LEN(VLOOKUP(B256,'Analyst Report'!$A$31:$I$288,9,FALSE))=0,VLOOKUP(B256,'Analyst Report'!$A$31:$I$288,8,FALSE),VLOOKUP(B256,'Analyst Report'!$A$31:$I$288,9,FALSE))</f>
        <v>15</v>
      </c>
      <c r="S256" s="267">
        <f t="shared" si="22"/>
        <v>0</v>
      </c>
      <c r="T256" s="267">
        <f t="shared" si="26"/>
        <v>0</v>
      </c>
      <c r="U256" s="164"/>
      <c r="V256" s="164" t="s">
        <v>115</v>
      </c>
      <c r="W256" s="164" t="s">
        <v>115</v>
      </c>
      <c r="X256" s="164" t="s">
        <v>115</v>
      </c>
      <c r="Y256" s="164" t="s">
        <v>115</v>
      </c>
      <c r="Z256" s="164" t="s">
        <v>115</v>
      </c>
      <c r="AA256" s="164" t="s">
        <v>115</v>
      </c>
      <c r="AB256" s="164" t="s">
        <v>115</v>
      </c>
      <c r="AC256" s="246" t="s">
        <v>3246</v>
      </c>
    </row>
    <row r="257" spans="1:28" ht="15" thickBot="1">
      <c r="A257" s="245" t="s">
        <v>545</v>
      </c>
      <c r="B257" s="183"/>
      <c r="C257" s="182"/>
      <c r="D257" s="183"/>
      <c r="E257" s="182"/>
      <c r="F257" s="182"/>
      <c r="G257" s="182"/>
      <c r="H257" s="184"/>
      <c r="I257" s="184"/>
      <c r="J257" s="182"/>
      <c r="K257" s="185"/>
      <c r="L257" s="182"/>
      <c r="M257" s="182"/>
      <c r="N257" s="182"/>
      <c r="O257" s="182"/>
      <c r="P257" s="182"/>
      <c r="Q257" s="182"/>
      <c r="R257" s="182"/>
      <c r="S257" s="182"/>
      <c r="T257" s="182"/>
      <c r="U257" s="182"/>
      <c r="V257" s="182"/>
      <c r="W257" s="182"/>
      <c r="X257" s="182"/>
      <c r="Y257" s="182"/>
      <c r="Z257" s="182"/>
      <c r="AA257" s="182"/>
      <c r="AB257" s="182"/>
    </row>
  </sheetData>
  <mergeCells count="5">
    <mergeCell ref="E1:G1"/>
    <mergeCell ref="J1:L1"/>
    <mergeCell ref="M1:T1"/>
    <mergeCell ref="U1:AB1"/>
    <mergeCell ref="H1:I1"/>
  </mergeCells>
  <conditionalFormatting sqref="C41:C53">
    <cfRule type="expression" dxfId="81" priority="32">
      <formula>$B$30="No"</formula>
    </cfRule>
  </conditionalFormatting>
  <conditionalFormatting sqref="C54">
    <cfRule type="expression" dxfId="80" priority="30">
      <formula>$B$28="No"</formula>
    </cfRule>
  </conditionalFormatting>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0070C0"/>
  </sheetPr>
  <dimension ref="A1:K66"/>
  <sheetViews>
    <sheetView topLeftCell="C1" workbookViewId="0">
      <selection activeCell="E2" sqref="E2"/>
    </sheetView>
  </sheetViews>
  <sheetFormatPr defaultColWidth="11.19921875" defaultRowHeight="15.95"/>
  <cols>
    <col min="1" max="1" width="37" customWidth="1"/>
  </cols>
  <sheetData>
    <row r="1" spans="1:11" ht="18" thickBot="1">
      <c r="A1" s="2" t="s">
        <v>3247</v>
      </c>
      <c r="C1" s="48"/>
      <c r="D1" s="48"/>
      <c r="E1" s="48" t="s">
        <v>3248</v>
      </c>
      <c r="F1" s="48" t="s">
        <v>3249</v>
      </c>
      <c r="G1" s="48" t="s">
        <v>524</v>
      </c>
      <c r="H1" s="48" t="s">
        <v>523</v>
      </c>
      <c r="I1" s="48" t="s">
        <v>525</v>
      </c>
    </row>
    <row r="2" spans="1:11" ht="18" thickBot="1">
      <c r="C2" s="51" t="s">
        <v>2381</v>
      </c>
      <c r="D2" s="97" t="s">
        <v>3250</v>
      </c>
      <c r="E2" s="49">
        <f>COUNTIFS(Questions!$B:B,D2,Questions!$M:M,"=1")</f>
        <v>0</v>
      </c>
      <c r="F2" s="216">
        <f>COUNTIF(Questions!$B:B,D2)</f>
        <v>5</v>
      </c>
      <c r="G2" s="216">
        <f>SUMIFS(Questions!T:T,Questions!B:B,D2)</f>
        <v>50</v>
      </c>
      <c r="H2" s="216">
        <f>SUMIFS(Questions!S:S,Questions!B:B,D2)</f>
        <v>80</v>
      </c>
      <c r="I2" s="217">
        <f>G2/H2</f>
        <v>0.625</v>
      </c>
      <c r="J2" t="str">
        <f>C2</f>
        <v>Company</v>
      </c>
    </row>
    <row r="3" spans="1:11" ht="35.1" thickBot="1">
      <c r="A3" s="2" t="s">
        <v>3251</v>
      </c>
      <c r="C3" s="51" t="s">
        <v>35</v>
      </c>
      <c r="D3" s="97" t="s">
        <v>3252</v>
      </c>
      <c r="E3" s="49">
        <f>COUNTIFS(Questions!$B:B,D3,Questions!$M:M,"=1")</f>
        <v>0</v>
      </c>
      <c r="F3" s="216">
        <f>COUNTIF(Questions!$B:B,D3)</f>
        <v>11</v>
      </c>
      <c r="G3" s="216">
        <f>SUMIFS(Questions!T:T,Questions!B:B,D3)</f>
        <v>140</v>
      </c>
      <c r="H3" s="216">
        <f>SUMIFS(Questions!S:S,Questions!B:B,D3)</f>
        <v>220</v>
      </c>
      <c r="I3" s="217">
        <f t="shared" ref="I3:I17" si="0">G3/H3</f>
        <v>0.63636363636363635</v>
      </c>
      <c r="J3" t="str">
        <f t="shared" ref="J3:J18" si="1">C3</f>
        <v>Documentation</v>
      </c>
    </row>
    <row r="4" spans="1:11" ht="18" thickBot="1">
      <c r="A4" t="s">
        <v>102</v>
      </c>
      <c r="C4" s="51" t="s">
        <v>3253</v>
      </c>
      <c r="D4" s="97" t="s">
        <v>3254</v>
      </c>
      <c r="E4" s="49">
        <f>COUNTIFS(Questions!$B:B,D4,Questions!$M:M,"=1")</f>
        <v>0</v>
      </c>
      <c r="F4" s="216">
        <f>COUNTIF(Questions!$B:B,D4)</f>
        <v>9</v>
      </c>
      <c r="G4" s="216">
        <f>SUMIFS(Questions!T:T,Questions!B:B,D4)</f>
        <v>200</v>
      </c>
      <c r="H4" s="216">
        <f>SUMIFS(Questions!S:S,Questions!B:B,D4)</f>
        <v>225</v>
      </c>
      <c r="I4" s="217">
        <f t="shared" si="0"/>
        <v>0.88888888888888884</v>
      </c>
      <c r="J4" t="str">
        <f t="shared" si="1"/>
        <v>Accessibility</v>
      </c>
    </row>
    <row r="5" spans="1:11" ht="18" thickBot="1">
      <c r="A5" t="s">
        <v>100</v>
      </c>
      <c r="C5" s="51" t="s">
        <v>3255</v>
      </c>
      <c r="D5" s="97" t="s">
        <v>3256</v>
      </c>
      <c r="E5" s="49">
        <f>COUNTIFS(Questions!$B:B,D5,Questions!$M:M,"=1")</f>
        <v>0</v>
      </c>
      <c r="F5" s="216">
        <f>COUNTIF(Questions!$B:B,D5)</f>
        <v>5</v>
      </c>
      <c r="G5" s="216">
        <f>IF(Questions!N19="Yes",SUMIFS(Questions!T:T,Questions!B:B,D5),0)</f>
        <v>55</v>
      </c>
      <c r="H5" s="216">
        <f>IF(Questions!N19="Yes",SUMIFS(Questions!S:S,Questions!B:B,D5),0)</f>
        <v>85</v>
      </c>
      <c r="I5" s="217">
        <f>IF(Questions!N19="Yes",G5/H5,0)</f>
        <v>0.6470588235294118</v>
      </c>
      <c r="J5" t="str">
        <f>IF(K5=1,C5,"")</f>
        <v>Third Parties</v>
      </c>
      <c r="K5">
        <f>IF(Questions!N19="Yes",1,0)</f>
        <v>1</v>
      </c>
    </row>
    <row r="6" spans="1:11" ht="18" thickBot="1">
      <c r="A6" t="s">
        <v>196</v>
      </c>
      <c r="C6" s="51" t="s">
        <v>2514</v>
      </c>
      <c r="D6" s="97" t="s">
        <v>3257</v>
      </c>
      <c r="E6" s="49">
        <f>COUNTIFS(Questions!$B:B,D6,Questions!$M:M,"=1")</f>
        <v>0</v>
      </c>
      <c r="F6" s="216">
        <f>COUNTIF(Questions!$B:B,D6)</f>
        <v>9</v>
      </c>
      <c r="G6" s="216">
        <f>IF(Questions!N23="Yes",SUMIFS(Questions!T:T,Questions!B:B,D6),0)</f>
        <v>0</v>
      </c>
      <c r="H6" s="216">
        <f>IF(Questions!N23="Yes",SUMIFS(Questions!S:S,Questions!B:B,D6),0)</f>
        <v>0</v>
      </c>
      <c r="I6" s="217">
        <f>IF(Questions!N23="Yes",G6/H6,0)</f>
        <v>0</v>
      </c>
      <c r="J6" t="str">
        <f>IF(K6=1,C6,"")</f>
        <v/>
      </c>
      <c r="K6">
        <f>IF(Questions!N23="Yes",1,0)</f>
        <v>0</v>
      </c>
    </row>
    <row r="7" spans="1:11" ht="35.1" thickBot="1">
      <c r="C7" s="51" t="s">
        <v>3258</v>
      </c>
      <c r="D7" s="97" t="s">
        <v>3259</v>
      </c>
      <c r="E7" s="49">
        <f>COUNTIFS(Questions!$B:B,D7,Questions!$M:M,"=1")</f>
        <v>0</v>
      </c>
      <c r="F7" s="216">
        <f>COUNTIF(Questions!$B:B,D7)</f>
        <v>14</v>
      </c>
      <c r="G7" s="216">
        <f>SUMIFS(Questions!T:T,Questions!B:B,D7)</f>
        <v>300</v>
      </c>
      <c r="H7" s="216">
        <f>SUMIFS(Questions!S:S,Questions!B:B,D7)</f>
        <v>300</v>
      </c>
      <c r="I7" s="217">
        <f t="shared" si="0"/>
        <v>1</v>
      </c>
      <c r="J7" t="str">
        <f t="shared" si="1"/>
        <v>Application Security</v>
      </c>
    </row>
    <row r="8" spans="1:11" ht="86.1" thickBot="1">
      <c r="A8" s="2" t="s">
        <v>3260</v>
      </c>
      <c r="C8" s="51" t="s">
        <v>210</v>
      </c>
      <c r="D8" s="97" t="s">
        <v>3261</v>
      </c>
      <c r="E8" s="49">
        <f>COUNTIFS(Questions!$B:B,D8,Questions!$M:M,"=1")</f>
        <v>2</v>
      </c>
      <c r="F8" s="216">
        <f>COUNTIF(Questions!$B:B,D8)</f>
        <v>19</v>
      </c>
      <c r="G8" s="216">
        <f>SUMIFS(Questions!T:T,Questions!B:B,D8)</f>
        <v>250</v>
      </c>
      <c r="H8" s="216">
        <f>SUMIFS(Questions!S:S,Questions!B:B,D8)</f>
        <v>445</v>
      </c>
      <c r="I8" s="217">
        <f t="shared" si="0"/>
        <v>0.5617977528089888</v>
      </c>
      <c r="J8" t="str">
        <f t="shared" si="1"/>
        <v>Authentication, Authorization, and Accounting</v>
      </c>
    </row>
    <row r="9" spans="1:11" ht="51.95" thickBot="1">
      <c r="A9" t="s">
        <v>3262</v>
      </c>
      <c r="C9" s="52" t="s">
        <v>2685</v>
      </c>
      <c r="D9" s="96" t="s">
        <v>3263</v>
      </c>
      <c r="E9" s="49">
        <f>COUNTIFS(Questions!$B:B,D9,Questions!$M:M,"=1")</f>
        <v>0</v>
      </c>
      <c r="F9" s="216">
        <f>COUNTIF(Questions!$B:B,D9)</f>
        <v>10</v>
      </c>
      <c r="G9" s="216">
        <f>IF(Questions!N20="Yes",SUMIFS(Questions!T:T,Questions!B:B,D9),0)</f>
        <v>210</v>
      </c>
      <c r="H9" s="216">
        <f>IF(Questions!N20="Yes",SUMIFS(Questions!S:S,Questions!B:B,D9),0)</f>
        <v>210</v>
      </c>
      <c r="I9" s="217">
        <f>IF(Questions!N20="Yes",G9/H9,0)</f>
        <v>1</v>
      </c>
      <c r="J9" t="str">
        <f>IF(K9=1,C9,"")</f>
        <v>Business Continuity Plan</v>
      </c>
      <c r="K9">
        <f>IF(Questions!N20="Yes",1,0)</f>
        <v>1</v>
      </c>
    </row>
    <row r="10" spans="1:11" ht="35.1" thickBot="1">
      <c r="A10" t="s">
        <v>3264</v>
      </c>
      <c r="C10" s="52" t="s">
        <v>265</v>
      </c>
      <c r="D10" s="96" t="s">
        <v>3265</v>
      </c>
      <c r="E10" s="49">
        <f>COUNTIFS(Questions!$B:B,D10,Questions!$M:M,"=1")</f>
        <v>0</v>
      </c>
      <c r="F10" s="216">
        <f>COUNTIF(Questions!$B:B,D10)</f>
        <v>15</v>
      </c>
      <c r="G10" s="216">
        <f>SUMIFS(Questions!T:T,Questions!B:B,D10)</f>
        <v>260</v>
      </c>
      <c r="H10" s="216">
        <f>SUMIFS(Questions!S:S,Questions!B:B,D10)</f>
        <v>270</v>
      </c>
      <c r="I10" s="217">
        <f t="shared" si="0"/>
        <v>0.96296296296296291</v>
      </c>
      <c r="J10" t="str">
        <f t="shared" si="1"/>
        <v>Change Management</v>
      </c>
    </row>
    <row r="11" spans="1:11" ht="18" thickBot="1">
      <c r="A11" t="s">
        <v>3266</v>
      </c>
      <c r="C11" s="51" t="s">
        <v>296</v>
      </c>
      <c r="D11" s="97" t="s">
        <v>3267</v>
      </c>
      <c r="E11" s="49">
        <f>COUNTIFS(Questions!$B:B,D11,Questions!$M:M,"=1")</f>
        <v>0</v>
      </c>
      <c r="F11" s="216">
        <f>COUNTIF(Questions!$B:B,D11)</f>
        <v>24</v>
      </c>
      <c r="G11" s="216">
        <f>SUMIFS(Questions!T:T,Questions!B:B,D11)</f>
        <v>415</v>
      </c>
      <c r="H11" s="216">
        <f>SUMIFS(Questions!S:S,Questions!B:B,D11)</f>
        <v>495</v>
      </c>
      <c r="I11" s="217">
        <f t="shared" si="0"/>
        <v>0.83838383838383834</v>
      </c>
      <c r="J11" t="str">
        <f t="shared" si="1"/>
        <v>Data</v>
      </c>
    </row>
    <row r="12" spans="1:11" ht="17.100000000000001">
      <c r="A12" t="s">
        <v>3268</v>
      </c>
      <c r="C12" s="99" t="s">
        <v>341</v>
      </c>
      <c r="D12" s="99" t="s">
        <v>3269</v>
      </c>
      <c r="E12" s="49">
        <f>COUNTIFS(Questions!$B:B,D12,Questions!$M:M,"=1")</f>
        <v>0</v>
      </c>
      <c r="F12" s="216">
        <f>COUNTIF(Questions!$B:B,D12)</f>
        <v>17</v>
      </c>
      <c r="G12" s="216">
        <f>SUMIFS(Questions!T:T,Questions!B:B,D12)</f>
        <v>100</v>
      </c>
      <c r="H12" s="216">
        <f>SUMIFS(Questions!S:S,Questions!B:B,D12)</f>
        <v>140</v>
      </c>
      <c r="I12" s="217">
        <f t="shared" si="0"/>
        <v>0.7142857142857143</v>
      </c>
      <c r="J12" t="str">
        <f t="shared" si="1"/>
        <v>Datacenter</v>
      </c>
    </row>
    <row r="13" spans="1:11" ht="33.950000000000003">
      <c r="C13" s="99" t="s">
        <v>2975</v>
      </c>
      <c r="D13" s="99" t="s">
        <v>3270</v>
      </c>
      <c r="E13" s="49">
        <f>COUNTIFS(Questions!$B:B,D13,Questions!$M:M,"=1")</f>
        <v>0</v>
      </c>
      <c r="F13" s="216">
        <f>COUNTIF(Questions!$B:B,D13)</f>
        <v>11</v>
      </c>
      <c r="G13" s="216">
        <f>IF(Questions!N21="Yes",SUMIFS(Questions!T:T,Questions!B:B,D13),0)</f>
        <v>170</v>
      </c>
      <c r="H13" s="216">
        <f>IF(Questions!N21="Yes",SUMIFS(Questions!S:S,Questions!B:B,D13),0)</f>
        <v>230</v>
      </c>
      <c r="I13" s="217">
        <f>IF(Questions!N21="Yes",G13/H13,0)</f>
        <v>0.73913043478260865</v>
      </c>
      <c r="J13" t="str">
        <f>IF(K13=1,C13,"")</f>
        <v>Disaster Recovery Plan</v>
      </c>
      <c r="K13">
        <f>IF(Questions!N21="Yes",1,0)</f>
        <v>1</v>
      </c>
    </row>
    <row r="14" spans="1:11" ht="51">
      <c r="A14" s="2" t="s">
        <v>3271</v>
      </c>
      <c r="C14" s="99" t="s">
        <v>383</v>
      </c>
      <c r="D14" s="99" t="s">
        <v>3272</v>
      </c>
      <c r="E14" s="49">
        <f>COUNTIFS(Questions!$B:B,D14,Questions!$M:M,"=1")</f>
        <v>0</v>
      </c>
      <c r="F14" s="216">
        <f>COUNTIF(Questions!$B:B,D14)</f>
        <v>11</v>
      </c>
      <c r="G14" s="216">
        <f>SUMIFS(Questions!T:T,Questions!B:B,D14)</f>
        <v>240</v>
      </c>
      <c r="H14" s="216">
        <f>SUMIFS(Questions!S:S,Questions!B:B,D14)</f>
        <v>240</v>
      </c>
      <c r="I14" s="217">
        <f t="shared" si="0"/>
        <v>1</v>
      </c>
      <c r="J14" t="str">
        <f t="shared" si="1"/>
        <v>Firewalls, IDS, IPS, and Networking</v>
      </c>
    </row>
    <row r="15" spans="1:11" ht="51">
      <c r="A15" t="s">
        <v>3273</v>
      </c>
      <c r="C15" s="99" t="s">
        <v>404</v>
      </c>
      <c r="D15" s="99" t="s">
        <v>3274</v>
      </c>
      <c r="E15" s="49">
        <f>COUNTIFS(Questions!$B:B,D15,Questions!$M:M,"=1")</f>
        <v>0</v>
      </c>
      <c r="F15" s="216">
        <f>COUNTIF(Questions!$B:B,D15)</f>
        <v>16</v>
      </c>
      <c r="G15" s="216">
        <f>SUMIFS(Questions!T:T,Questions!B:B,D15)</f>
        <v>300</v>
      </c>
      <c r="H15" s="216">
        <f>SUMIFS(Questions!S:S,Questions!B:B,D15)</f>
        <v>300</v>
      </c>
      <c r="I15" s="217">
        <f>G15/H15</f>
        <v>1</v>
      </c>
      <c r="J15" t="str">
        <f t="shared" si="1"/>
        <v>Policies, Procedures, and Processes</v>
      </c>
    </row>
    <row r="16" spans="1:11" ht="33.950000000000003">
      <c r="A16" t="s">
        <v>3275</v>
      </c>
      <c r="C16" s="100" t="s">
        <v>434</v>
      </c>
      <c r="D16" s="100" t="s">
        <v>3276</v>
      </c>
      <c r="E16" s="49">
        <f>COUNTIFS(Questions!$B:B,D16,Questions!$M:M,"=1")</f>
        <v>0</v>
      </c>
      <c r="F16" s="216">
        <f>COUNTIF(Questions!$B:B,D16)</f>
        <v>4</v>
      </c>
      <c r="G16" s="216">
        <f>SUMIFS(Questions!T:T,Questions!B:B,D16)</f>
        <v>45</v>
      </c>
      <c r="H16" s="216">
        <f>SUMIFS(Questions!S:S,Questions!B:B,D16)</f>
        <v>60</v>
      </c>
      <c r="I16" s="217">
        <f>G16/H16</f>
        <v>0.75</v>
      </c>
      <c r="J16" t="str">
        <f t="shared" si="1"/>
        <v>Incident Handling</v>
      </c>
    </row>
    <row r="17" spans="1:11" ht="33.950000000000003">
      <c r="A17" t="s">
        <v>3277</v>
      </c>
      <c r="C17" s="99" t="s">
        <v>442</v>
      </c>
      <c r="D17" s="99" t="s">
        <v>3278</v>
      </c>
      <c r="E17" s="49">
        <f>COUNTIFS(Questions!$B:B,D17,Questions!$M:M,"=1")</f>
        <v>0</v>
      </c>
      <c r="F17" s="216">
        <f>COUNTIF(Questions!$B:B,D17)</f>
        <v>5</v>
      </c>
      <c r="G17" s="216">
        <f>SUMIFS(Questions!T:T,Questions!B:B,D17)</f>
        <v>75</v>
      </c>
      <c r="H17" s="216">
        <f>SUMIFS(Questions!S:S,Questions!B:B,D17)</f>
        <v>90</v>
      </c>
      <c r="I17" s="217">
        <f t="shared" si="0"/>
        <v>0.83333333333333337</v>
      </c>
      <c r="J17" t="str">
        <f t="shared" si="1"/>
        <v>Quality Assurance</v>
      </c>
    </row>
    <row r="18" spans="1:11" ht="33.950000000000003">
      <c r="A18" t="s">
        <v>3279</v>
      </c>
      <c r="C18" s="100" t="s">
        <v>453</v>
      </c>
      <c r="D18" s="100" t="s">
        <v>3280</v>
      </c>
      <c r="E18" s="49">
        <f>COUNTIFS(Questions!$B:B,D18,Questions!$M:M,"=1")</f>
        <v>0</v>
      </c>
      <c r="F18" s="216">
        <f>COUNTIF(Questions!$B:B,D18)</f>
        <v>6</v>
      </c>
      <c r="G18" s="216">
        <f>SUMIFS(Questions!T:T,Questions!B:B,D18)</f>
        <v>40</v>
      </c>
      <c r="H18" s="216">
        <f>SUMIFS(Questions!S:S,Questions!B:B,D18)</f>
        <v>130</v>
      </c>
      <c r="I18" s="217">
        <f>G18/H18</f>
        <v>0.30769230769230771</v>
      </c>
      <c r="J18" t="str">
        <f t="shared" si="1"/>
        <v>Vulnerability Scanning</v>
      </c>
    </row>
    <row r="19" spans="1:11" ht="17.100000000000001">
      <c r="A19" t="s">
        <v>3268</v>
      </c>
      <c r="C19" s="100" t="s">
        <v>2321</v>
      </c>
      <c r="D19" s="100" t="s">
        <v>3281</v>
      </c>
      <c r="E19" s="49">
        <f>COUNTIFS(Questions!$B:B,D19,Questions!$M:M,"=1")</f>
        <v>0</v>
      </c>
      <c r="F19" s="216">
        <f>COUNTIF(Questions!$B:B,D19)</f>
        <v>29</v>
      </c>
      <c r="G19" s="216">
        <f>SUMIFS(Questions!T:T,Questions!B:B,D19)</f>
        <v>0</v>
      </c>
      <c r="H19" s="216">
        <f>IF(Questions!N18="Yes",SUMIFS(Questions!S:S,Questions!B:B,D19),0)</f>
        <v>0</v>
      </c>
      <c r="I19" s="217">
        <f>IF(Questions!N18="Yes",G19/H19,0)</f>
        <v>0</v>
      </c>
      <c r="J19" t="str">
        <f>IF(K19=1,C19,"")</f>
        <v/>
      </c>
      <c r="K19">
        <f>IF(Questions!N18="Yes",1,0)</f>
        <v>0</v>
      </c>
    </row>
    <row r="20" spans="1:11" ht="17.100000000000001">
      <c r="C20" s="100" t="s">
        <v>3282</v>
      </c>
      <c r="D20" s="100" t="s">
        <v>3283</v>
      </c>
      <c r="E20" s="49">
        <f>COUNTIFS(Questions!$B:B,D20,Questions!$M:M,"=1")</f>
        <v>0</v>
      </c>
      <c r="F20" s="216">
        <f>COUNTIF(Questions!$B:B,D20)</f>
        <v>12</v>
      </c>
      <c r="G20" s="216">
        <f>SUMIFS(Questions!T:T,Questions!B:B,D20)</f>
        <v>0</v>
      </c>
      <c r="H20" s="216">
        <f>IF(Questions!N22="Yes",SUMIFS(Questions!S:S,Questions!B:B,D20),0)</f>
        <v>0</v>
      </c>
      <c r="I20" s="217">
        <f>IF(Questions!N22="Yes",G20/H20,0)</f>
        <v>0</v>
      </c>
      <c r="J20" t="str">
        <f>IF(K20=1,C20,"")</f>
        <v/>
      </c>
      <c r="K20">
        <f>IF(Questions!N22="Yes",1,0)</f>
        <v>0</v>
      </c>
    </row>
    <row r="21" spans="1:11" ht="17.100000000000001">
      <c r="A21" s="2" t="s">
        <v>3284</v>
      </c>
      <c r="C21" s="100"/>
      <c r="D21" s="100"/>
      <c r="E21" s="49">
        <f>SUM(E2:E20)</f>
        <v>2</v>
      </c>
      <c r="F21" s="49">
        <f>SUM(F2:F20)</f>
        <v>232</v>
      </c>
      <c r="G21" s="49">
        <f>SUM(G2:G20)</f>
        <v>2850</v>
      </c>
      <c r="H21" s="49">
        <f>SUM(H2:H20)</f>
        <v>3520</v>
      </c>
      <c r="I21" s="217">
        <f>G21/H21</f>
        <v>0.80965909090909094</v>
      </c>
    </row>
    <row r="22" spans="1:11" ht="17.100000000000001">
      <c r="A22" t="s">
        <v>3285</v>
      </c>
      <c r="C22" s="100"/>
      <c r="D22" s="100"/>
      <c r="E22" s="49"/>
      <c r="F22" s="216"/>
      <c r="G22" s="216"/>
      <c r="H22" s="216"/>
      <c r="I22" s="217"/>
    </row>
    <row r="23" spans="1:11" ht="17.100000000000001">
      <c r="A23" t="s">
        <v>3286</v>
      </c>
      <c r="C23" s="100"/>
      <c r="D23" s="100"/>
      <c r="E23" s="49"/>
      <c r="F23" s="216"/>
      <c r="G23" s="216"/>
      <c r="H23" s="216"/>
      <c r="I23" s="217"/>
    </row>
    <row r="25" spans="1:11" ht="33.950000000000003">
      <c r="A25" s="2" t="s">
        <v>3287</v>
      </c>
      <c r="C25" s="2" t="s">
        <v>3288</v>
      </c>
    </row>
    <row r="26" spans="1:11" ht="17.100000000000001">
      <c r="A26" t="s">
        <v>3289</v>
      </c>
      <c r="C26" s="63" t="s">
        <v>212</v>
      </c>
    </row>
    <row r="27" spans="1:11" ht="17.100000000000001">
      <c r="A27" t="s">
        <v>3290</v>
      </c>
      <c r="C27" s="63" t="s">
        <v>3291</v>
      </c>
    </row>
    <row r="28" spans="1:11" ht="51">
      <c r="C28" s="63" t="s">
        <v>215</v>
      </c>
    </row>
    <row r="29" spans="1:11" ht="17.100000000000001">
      <c r="A29" s="2" t="s">
        <v>3292</v>
      </c>
      <c r="C29" s="63" t="s">
        <v>3293</v>
      </c>
    </row>
    <row r="30" spans="1:11" ht="17.100000000000001">
      <c r="A30" t="s">
        <v>3294</v>
      </c>
    </row>
    <row r="31" spans="1:11" ht="17.100000000000001">
      <c r="A31" t="s">
        <v>3295</v>
      </c>
    </row>
    <row r="33" spans="1:1" ht="17.100000000000001">
      <c r="A33" s="2" t="s">
        <v>3296</v>
      </c>
    </row>
    <row r="34" spans="1:1" ht="17.100000000000001">
      <c r="A34" t="s">
        <v>3297</v>
      </c>
    </row>
    <row r="35" spans="1:1" ht="17.100000000000001">
      <c r="A35" t="s">
        <v>3298</v>
      </c>
    </row>
    <row r="36" spans="1:1" ht="17.100000000000001">
      <c r="A36" t="s">
        <v>3299</v>
      </c>
    </row>
    <row r="37" spans="1:1" ht="17.100000000000001">
      <c r="A37" t="s">
        <v>3300</v>
      </c>
    </row>
    <row r="38" spans="1:1" ht="17.100000000000001">
      <c r="A38" t="s">
        <v>196</v>
      </c>
    </row>
    <row r="40" spans="1:1" ht="17.100000000000001">
      <c r="A40" t="s">
        <v>3301</v>
      </c>
    </row>
    <row r="42" spans="1:1">
      <c r="A42">
        <v>0</v>
      </c>
    </row>
    <row r="43" spans="1:1">
      <c r="A43">
        <v>5</v>
      </c>
    </row>
    <row r="44" spans="1:1">
      <c r="A44">
        <v>10</v>
      </c>
    </row>
    <row r="45" spans="1:1">
      <c r="A45">
        <v>15</v>
      </c>
    </row>
    <row r="46" spans="1:1">
      <c r="A46">
        <v>20</v>
      </c>
    </row>
    <row r="47" spans="1:1">
      <c r="A47">
        <v>25</v>
      </c>
    </row>
    <row r="48" spans="1:1">
      <c r="A48">
        <v>40</v>
      </c>
    </row>
    <row r="49" spans="1:2" ht="17.100000000000001">
      <c r="A49" s="63" t="s">
        <v>3302</v>
      </c>
    </row>
    <row r="50" spans="1:2" ht="17.100000000000001">
      <c r="A50" s="63" t="s">
        <v>3303</v>
      </c>
    </row>
    <row r="51" spans="1:2" ht="17.100000000000001">
      <c r="A51" s="63" t="s">
        <v>3304</v>
      </c>
    </row>
    <row r="52" spans="1:2" ht="17.100000000000001">
      <c r="A52" s="63" t="s">
        <v>3305</v>
      </c>
    </row>
    <row r="53" spans="1:2" ht="17.100000000000001">
      <c r="A53" s="63" t="s">
        <v>111</v>
      </c>
    </row>
    <row r="54" spans="1:2" ht="17.100000000000001">
      <c r="A54" s="63" t="s">
        <v>3306</v>
      </c>
    </row>
    <row r="55" spans="1:2" ht="17.100000000000001">
      <c r="A55" s="63" t="s">
        <v>3307</v>
      </c>
    </row>
    <row r="56" spans="1:2" ht="17.100000000000001">
      <c r="A56" s="63" t="s">
        <v>3308</v>
      </c>
    </row>
    <row r="60" spans="1:2" ht="17.100000000000001">
      <c r="A60" s="80" t="s">
        <v>2320</v>
      </c>
      <c r="B60" s="218">
        <v>4</v>
      </c>
    </row>
    <row r="61" spans="1:2" ht="17.100000000000001">
      <c r="A61" s="80" t="s">
        <v>2321</v>
      </c>
      <c r="B61" s="218">
        <v>5</v>
      </c>
    </row>
    <row r="62" spans="1:2" ht="17.100000000000001">
      <c r="A62" s="80" t="s">
        <v>3309</v>
      </c>
      <c r="B62" s="218">
        <v>6</v>
      </c>
    </row>
    <row r="63" spans="1:2" ht="17.100000000000001">
      <c r="A63" s="80" t="s">
        <v>2323</v>
      </c>
      <c r="B63" s="218">
        <v>7</v>
      </c>
    </row>
    <row r="64" spans="1:2" ht="17.100000000000001">
      <c r="A64" s="80" t="s">
        <v>2324</v>
      </c>
      <c r="B64" s="218">
        <v>8</v>
      </c>
    </row>
    <row r="65" spans="1:2" ht="17.100000000000001">
      <c r="A65" s="80" t="s">
        <v>2325</v>
      </c>
      <c r="B65" s="218">
        <v>9</v>
      </c>
    </row>
    <row r="66" spans="1:2" ht="17.100000000000001">
      <c r="A66" s="65" t="s">
        <v>2326</v>
      </c>
      <c r="B66" s="218">
        <v>10</v>
      </c>
    </row>
  </sheetData>
  <conditionalFormatting sqref="J5:J6">
    <cfRule type="expression" dxfId="79" priority="6" stopIfTrue="1">
      <formula>"IF($K5=""1"")"</formula>
    </cfRule>
  </conditionalFormatting>
  <conditionalFormatting sqref="J9">
    <cfRule type="expression" dxfId="78" priority="5" stopIfTrue="1">
      <formula>"IF($K5=""1"")"</formula>
    </cfRule>
  </conditionalFormatting>
  <conditionalFormatting sqref="J13">
    <cfRule type="expression" dxfId="77" priority="4" stopIfTrue="1">
      <formula>"IF($K5=""1"")"</formula>
    </cfRule>
  </conditionalFormatting>
  <conditionalFormatting sqref="J19:J20">
    <cfRule type="expression" dxfId="76" priority="1" stopIfTrue="1">
      <formula>"IF($K5=""1"")"</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1 6 " ? > < G e m i n i   x m l n s = " h t t p : / / g e m i n i / p i v o t c u s t o m i z a t i o n / L i n k e d T a b l e s " > < C u s t o m C o n t e n t > < ! [ C D A T A [ < L i n k e d T a b l e s   x m l n s : x s i = " h t t p : / / w w w . w 3 . o r g / 2 0 0 1 / X M L S c h e m a - i n s t a n c e "   x m l n s : x s d = " h t t p : / / w w w . w 3 . o r g / 2 0 0 1 / X M L S c h e m a " > < L i n k e d T a b l e L i s t > < L i n k e d T a b l e I n f o > < E x c e l T a b l e N a m e > T a b l e 1 < / E x c e l T a b l e N a m e > < G e m i n i T a b l e I d > T a b l e 1 < / G e m i n i T a b l e I d > < L i n k e d C o l u m n L i s t   / > < U p d a t e N e e d e d > f a l s e < / U p d a t e N e e d e d > < R o w C o u n t > 0 < / R o w C o u n t > < / L i n k e d T a b l e I n f o > < / L i n k e d T a b l e L i s t > < / L i n k e d T a b l e s > ] ] > < / 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2" ma:contentTypeDescription="Create a new document." ma:contentTypeScope="" ma:versionID="a0a4c185c2542f5268f380becaa1b24b">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dd41dfc1a268db32f629ceee7264ae94"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T a b l e 1 & 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 i : t y p e = " S a n d b o x E d i t o r T a b l e W i d g e t V i e w M o d e l K e y " & g t ; & l t ; T a b l e N a m e & g t ; T a b l e 1 & l t ; / T a b l e N a m e & g t ; & l t ; / K e y & g t ; & l t ; M a i n t a i n e r 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C o l u m n 1 & l t ; / K e y & g t ; & l t ; / a : K e y & g t ; & l t ; a : V a l u e   i : t y p e = " T a b l e W i d g e t B a s e V i e w S t a t e " / & g t ; & l t ; / a : K e y V a l u e O f D i a g r a m O b j e c t K e y a n y T y p e z b w N T n L X & g t ; & l t ; a : K e y V a l u e O f D i a g r a m O b j e c t K e y a n y T y p e z b w N T n L X & g t ; & l t ; a : K e y & g t ; & l t ; K e y & g t ; C o l u m n s \ C o l u m n 2 & l t ; / K e y & g t ; & l t ; / a : K e y & g t ; & l t ; a : V a l u e   i : t y p e = " T a b l e W i d g e t B a s e V i e w S t a t e " / & g t ; & l t ; / a : K e y V a l u e O f D i a g r a m O b j e c t K e y a n y T y p e z b w N T n L X & g t ; & l t ; a : K e y V a l u e O f D i a g r a m O b j e c t K e y a n y T y p e z b w N T n L X & g t ; & l t ; a : K e y & g t ; & l t ; K e y & g t ; C o l u m n s \ C o l u m n 3 & l t ; / K e y & g t ; & l t ; / a : K e y & g t ; & l t ; a : V a l u e   i : t y p e = " T a b l e W i d g e t B a s e V i e w S t a t e " / & g t ; & l t ; / a : K e y V a l u e O f D i a g r a m O b j e c t K e y a n y T y p e z b w N T n L X & g t ; & l t ; a : K e y V a l u e O f D i a g r a m O b j e c t K e y a n y T y p e z b w N T n L X & g t ; & l t ; a : K e y & g t ; & l t ; K e y & g t ; C o l u m n s \ C o l u m n 4 & l t ; / K e y & g t ; & l t ; / a : K e y & g t ; & l t ; a : V a l u e   i : t y p e = " T a b l e W i d g e t B a s e V i e w S t a t e " / & g t ; & l t ; / a : K e y V a l u e O f D i a g r a m O b j e c t K e y a n y T y p e z b w N T n L X & g t ; & l t ; a : K e y V a l u e O f D i a g r a m O b j e c t K e y a n y T y p e z b w N T n L X & g t ; & l t ; a : K e y & g t ; & l t ; K e y & g t ; C o l u m n s \ C o l u m n 5 & l t ; / K e y & g t ; & l t ; / a : K e y & g t ; & l t ; a : V a l u e   i : t y p e = " T a b l e W i d g e t B a s e V i e w S t a t e " / & g t ; & l t ; / a : K e y V a l u e O f D i a g r a m O b j e c t K e y a n y T y p e z b w N T n L X & g t ; & l t ; a : K e y V a l u e O f D i a g r a m O b j e c t K e y a n y T y p e z b w N T n L X & g t ; & l t ; a : K e y & g t ; & l t ; K e y & g t ; C o l u m n s \ C o l u m n 6 & l t ; / K e y & g t ; & l t ; / a : K e y & g t ; & l t ; a : V a l u e   i : t y p e = " T a b l e W i d g e t B a s e V i e w S t a t e " / & g t ; & l t ; / a : K e y V a l u e O f D i a g r a m O b j e c t K e y a n y T y p e z b w N T n L X & g t ; & l t ; a : K e y V a l u e O f D i a g r a m O b j e c t K e y a n y T y p e z b w N T n L X & g t ; & l t ; a : K e y & g t ; & l t ; K e y & g t ; C o l u m n s \ C o l u m n 7 & l t ; / K e y & g t ; & l t ; / a : K e y & g t ; & l t ; a : V a l u e   i : t y p e = " T a b l e W i d g e t B a s e V i e w S t a t e " / & g t ; & l t ; / a : K e y V a l u e O f D i a g r a m O b j e c t K e y a n y T y p e z b w N T n L X & g t ; & l t ; a : K e y V a l u e O f D i a g r a m O b j e c t K e y a n y T y p e z b w N T n L X & g t ; & l t ; a : K e y & g t ; & l t ; K e y & g t ; C o l u m n s \ C o l u m n 8 & l t ; / K e y & g t ; & l t ; / a : K e y & g t ; & l t ; a : V a l u e   i : t y p e = " T a b l e W i d g e t B a s e V i e w S t a t e " / & g t ; & l t ; / a : K e y V a l u e O f D i a g r a m O b j e c t K e y a n y T y p e z b w N T n L X & g t ; & l t ; a : K e y V a l u e O f D i a g r a m O b j e c t K e y a n y T y p e z b w N T n L X & g t ; & l t ; a : K e y & g t ; & l t ; K e y & g t ; C o l u m n s \ C o l u m n 9 & l t ; / K e y & g t ; & l t ; / a : K e y & g t ; & l t ; a : V a l u e   i : t y p e = " T a b l e W i d g e t B a s e V i e w S t a t e " / & g t ; & l t ; / a : K e y V a l u e O f D i a g r a m O b j e c t K e y a n y T y p e z b w N T n L X & g t ; & l t ; a : K e y V a l u e O f D i a g r a m O b j e c t K e y a n y T y p e z b w N T n L X & g t ; & l t ; a : K e y & g t ; & l t ; K e y & g t ; C o l u m n s \ C o l u m n 1 0 & l t ; / K e y & g t ; & l t ; / a : K e y & g t ; & l t ; a : V a l u e   i : t y p e = " T a b l e W i d g e t B a s e V i e w S t a t e " / & g t ; & l t ; / a : K e y V a l u e O f D i a g r a m O b j e c t K e y a n y T y p e z b w N T n L X & g t ; & l t ; a : K e y V a l u e O f D i a g r a m O b j e c t K e y a n y T y p e z b w N T n L X & g t ; & l t ; a : K e y & g t ; & l t ; K e y & g t ; C o l u m n s \ C o l u m n 1 1 & l t ; / K e y & g t ; & l t ; / a : K e y & g t ; & l t ; a : V a l u e   i : t y p e = " T a b l e W i d g e t B a s e V i e w S t a t e " / & g t ; & l t ; / a : K e y V a l u e O f D i a g r a m O b j e c t K e y a n y T y p e z b w N T n L X & g t ; & l t ; a : K e y V a l u e O f D i a g r a m O b j e c t K e y a n y T y p e z b w N T n L X & g t ; & l t ; a : K e y & g t ; & l t ; K e y & g t ; C o l u m n s \ C o l u m n 1 2 & l t ; / K e y & g t ; & l t ; / a : K e y & g t ; & l t ; a : V a l u e   i : t y p e = " T a b l e W i d g e t B a s e V i e w S t a t e " / & g t ; & l t ; / a : K e y V a l u e O f D i a g r a m O b j e c t K e y a n y T y p e z b w N T n L X & g t ; & l t ; a : K e y V a l u e O f D i a g r a m O b j e c t K e y a n y T y p e z b w N T n L X & g t ; & l t ; a : K e y & g t ; & l t ; K e y & g t ; C o l u m n s \ C o l u m n 1 3 & l t ; / K e y & g t ; & l t ; / a : K e y & g t ; & l t ; a : V a l u e   i : t y p e = " T a b l e W i d g e t B a s e V i e w S t a t e " / & g t ; & l t ; / a : K e y V a l u e O f D i a g r a m O b j e c t K e y a n y T y p e z b w N T n L X & g t ; & l t ; a : K e y V a l u e O f D i a g r a m O b j e c t K e y a n y T y p e z b w N T n L X & g t ; & l t ; a : K e y & g t ; & l t ; K e y & g t ; C o l u m n s \ C o l u m n 1 4 & l t ; / K e y & g t ; & l t ; / a : K e y & g t ; & l t ; a : V a l u e   i : t y p e = " T a b l e W i d g e t B a s e V i e w S t a t e " / & g t ; & l t ; / a : K e y V a l u e O f D i a g r a m O b j e c t K e y a n y T y p e z b w N T n L X & g t ; & l t ; a : K e y V a l u e O f D i a g r a m O b j e c t K e y a n y T y p e z b w N T n L X & g t ; & l t ; a : K e y & g t ; & l t ; K e y & g t ; C o l u m n s \ C o l u m n 1 5 & l t ; / K e y & g t ; & l t ; / a : K e y & g t ; & l t ; a : V a l u e   i : t y p e = " T a b l e W i d g e t B a s e V i e w S t a t e " / & g t ; & l t ; / a : K e y V a l u e O f D i a g r a m O b j e c t K e y a n y T y p e z b w N T n L X & g t ; & l t ; a : K e y V a l u e O f D i a g r a m O b j e c t K e y a n y T y p e z b w N T n L X & g t ; & l t ; a : K e y & g t ; & l t ; K e y & g t ; C o l u m n s \ C o l u m n 1 6 & l t ; / K e y & g t ; & l t ; / a : K e y & g t ; & l t ; a : V a l u e   i : t y p e = " T a b l e W i d g e t B a s e V i e w S t a t e " / & g t ; & l t ; / a : K e y V a l u e O f D i a g r a m O b j e c t K e y a n y T y p e z b w N T n L X & g t ; & l t ; a : K e y V a l u e O f D i a g r a m O b j e c t K e y a n y T y p e z b w N T n L X & g t ; & l t ; a : K e y & g t ; & l t ; K e y & g t ; C o l u m n s \ C o l u m n 1 7 & l t ; / K e y & g t ; & l t ; / a : K e y & g t ; & l t ; a : V a l u e   i : t y p e = " T a b l e W i d g e t B a s e V i e w S t a t e " / & g t ; & l t ; / a : K e y V a l u e O f D i a g r a m O b j e c t K e y a n y T y p e z b w N T n L X & g t ; & l t ; a : K e y V a l u e O f D i a g r a m O b j e c t K e y a n y T y p e z b w N T n L X & g t ; & l t ; a : K e y & g t ; & l t ; K e y & g t ; C o l u m n s \ C o l u m n 1 8 & l t ; / K e y & g t ; & l t ; / a : K e y & g t ; & l t ; a : V a l u e   i : t y p e = " T a b l e W i d g e t B a s e V i e w S t a t e " / & g t ; & l t ; / a : K e y V a l u e O f D i a g r a m O b j e c t K e y a n y T y p e z b w N T n L X & g t ; & l t ; a : K e y V a l u e O f D i a g r a m O b j e c t K e y a n y T y p e z b w N T n L X & g t ; & l t ; a : K e y & g t ; & l t ; K e y & g t ; C o l u m n s \ C o l u m n 2 5 & l t ; / K e y & g t ; & l t ; / a : K e y & g t ; & l t ; a : V a l u e   i : t y p e = " T a b l e W i d g e t B a s e V i e w S t a t e " / & g t ; & l t ; / a : K e y V a l u e O f D i a g r a m O b j e c t K e y a n y T y p e z b w N T n L X & g t ; & l t ; a : K e y V a l u e O f D i a g r a m O b j e c t K e y a n y T y p e z b w N T n L X & g t ; & l t ; a : K e y & g t ; & l t ; K e y & g t ; C o l u m n s \ A d d   C o l u m n 2 & l t ; / K e y & g t ; & l t ; / a : K e y & g t ; & l t ; a : V a l u e 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6.xml>��< ? x m l   v e r s i o n = " 1 . 0 "   e n c o d i n g = " U T F - 1 6 " ? > < G e m i n i   x m l n s = " h t t p : / / g e m i n i / p i v o t c u s t o m i z a t i o n / T a b l e X M L _ T a b l e 1 " > < 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C o l u m n 1 & l t ; / s t r i n g & g t ; & l t ; / k e y & g t ; & l t ; v a l u e & g t ; & l t ; i n t & g t ; 9 1 & l t ; / i n t & g t ; & l t ; / v a l u e & g t ; & l t ; / i t e m & g t ; & l t ; i t e m & g t ; & l t ; k e y & g t ; & l t ; s t r i n g & g t ; C o l u m n 2 & l t ; / s t r i n g & g t ; & l t ; / k e y & g t ; & l t ; v a l u e & g t ; & l t ; i n t & g t ; 9 1 & l t ; / i n t & g t ; & l t ; / v a l u e & g t ; & l t ; / i t e m & g t ; & l t ; i t e m & g t ; & l t ; k e y & g t ; & l t ; s t r i n g & g t ; C o l u m n 3 & l t ; / s t r i n g & g t ; & l t ; / k e y & g t ; & l t ; v a l u e & g t ; & l t ; i n t & g t ; 9 1 & l t ; / i n t & g t ; & l t ; / v a l u e & g t ; & l t ; / i t e m & g t ; & l t ; i t e m & g t ; & l t ; k e y & g t ; & l t ; s t r i n g & g t ; C o l u m n 4 & l t ; / s t r i n g & g t ; & l t ; / k e y & g t ; & l t ; v a l u e & g t ; & l t ; i n t & g t ; 9 1 & l t ; / i n t & g t ; & l t ; / v a l u e & g t ; & l t ; / i t e m & g t ; & l t ; i t e m & g t ; & l t ; k e y & g t ; & l t ; s t r i n g & g t ; C o l u m n 5 & l t ; / s t r i n g & g t ; & l t ; / k e y & g t ; & l t ; v a l u e & g t ; & l t ; i n t & g t ; 9 1 & l t ; / i n t & g t ; & l t ; / v a l u e & g t ; & l t ; / i t e m & g t ; & l t ; i t e m & g t ; & l t ; k e y & g t ; & l t ; s t r i n g & g t ; C o l u m n 6 & l t ; / s t r i n g & g t ; & l t ; / k e y & g t ; & l t ; v a l u e & g t ; & l t ; i n t & g t ; 9 1 & l t ; / i n t & g t ; & l t ; / v a l u e & g t ; & l t ; / i t e m & g t ; & l t ; i t e m & g t ; & l t ; k e y & g t ; & l t ; s t r i n g & g t ; C o l u m n 7 & l t ; / s t r i n g & g t ; & l t ; / k e y & g t ; & l t ; v a l u e & g t ; & l t ; i n t & g t ; 9 1 & l t ; / i n t & g t ; & l t ; / v a l u e & g t ; & l t ; / i t e m & g t ; & l t ; i t e m & g t ; & l t ; k e y & g t ; & l t ; s t r i n g & g t ; C o l u m n 8 & l t ; / s t r i n g & g t ; & l t ; / k e y & g t ; & l t ; v a l u e & g t ; & l t ; i n t & g t ; 9 1 & l t ; / i n t & g t ; & l t ; / v a l u e & g t ; & l t ; / i t e m & g t ; & l t ; i t e m & g t ; & l t ; k e y & g t ; & l t ; s t r i n g & g t ; C o l u m n 9 & l t ; / s t r i n g & g t ; & l t ; / k e y & g t ; & l t ; v a l u e & g t ; & l t ; i n t & g t ; 9 1 & l t ; / i n t & g t ; & l t ; / v a l u e & g t ; & l t ; / i t e m & g t ; & l t ; i t e m & g t ; & l t ; k e y & g t ; & l t ; s t r i n g & g t ; C o l u m n 1 0 & l t ; / s t r i n g & g t ; & l t ; / k e y & g t ; & l t ; v a l u e & g t ; & l t ; i n t & g t ; 9 8 & l t ; / i n t & g t ; & l t ; / v a l u e & g t ; & l t ; / i t e m & g t ; & l t ; i t e m & g t ; & l t ; k e y & g t ; & l t ; s t r i n g & g t ; C o l u m n 1 1 & l t ; / s t r i n g & g t ; & l t ; / k e y & g t ; & l t ; v a l u e & g t ; & l t ; i n t & g t ; 9 8 & l t ; / i n t & g t ; & l t ; / v a l u e & g t ; & l t ; / i t e m & g t ; & l t ; i t e m & g t ; & l t ; k e y & g t ; & l t ; s t r i n g & g t ; C o l u m n 1 2 & l t ; / s t r i n g & g t ; & l t ; / k e y & g t ; & l t ; v a l u e & g t ; & l t ; i n t & g t ; 9 8 & l t ; / i n t & g t ; & l t ; / v a l u e & g t ; & l t ; / i t e m & g t ; & l t ; i t e m & g t ; & l t ; k e y & g t ; & l t ; s t r i n g & g t ; C o l u m n 1 3 & l t ; / s t r i n g & g t ; & l t ; / k e y & g t ; & l t ; v a l u e & g t ; & l t ; i n t & g t ; 9 8 & l t ; / i n t & g t ; & l t ; / v a l u e & g t ; & l t ; / i t e m & g t ; & l t ; i t e m & g t ; & l t ; k e y & g t ; & l t ; s t r i n g & g t ; C o l u m n 1 4 & l t ; / s t r i n g & g t ; & l t ; / k e y & g t ; & l t ; v a l u e & g t ; & l t ; i n t & g t ; 9 8 & l t ; / i n t & g t ; & l t ; / v a l u e & g t ; & l t ; / i t e m & g t ; & l t ; i t e m & g t ; & l t ; k e y & g t ; & l t ; s t r i n g & g t ; C o l u m n 1 5 & l t ; / s t r i n g & g t ; & l t ; / k e y & g t ; & l t ; v a l u e & g t ; & l t ; i n t & g t ; 9 8 & l t ; / i n t & g t ; & l t ; / v a l u e & g t ; & l t ; / i t e m & g t ; & l t ; i t e m & g t ; & l t ; k e y & g t ; & l t ; s t r i n g & g t ; C o l u m n 1 6 & l t ; / s t r i n g & g t ; & l t ; / k e y & g t ; & l t ; v a l u e & g t ; & l t ; i n t & g t ; 9 8 & l t ; / i n t & g t ; & l t ; / v a l u e & g t ; & l t ; / i t e m & g t ; & l t ; i t e m & g t ; & l t ; k e y & g t ; & l t ; s t r i n g & g t ; C o l u m n 1 7 & l t ; / s t r i n g & g t ; & l t ; / k e y & g t ; & l t ; v a l u e & g t ; & l t ; i n t & g t ; 9 8 & l t ; / i n t & g t ; & l t ; / v a l u e & g t ; & l t ; / i t e m & g t ; & l t ; i t e m & g t ; & l t ; k e y & g t ; & l t ; s t r i n g & g t ; C o l u m n 1 8 & l t ; / s t r i n g & g t ; & l t ; / k e y & g t ; & l t ; v a l u e & g t ; & l t ; i n t & g t ; 9 8 & l t ; / i n t & g t ; & l t ; / v a l u e & g t ; & l t ; / i t e m & g t ; & l t ; i t e m & g t ; & l t ; k e y & g t ; & l t ; s t r i n g & g t ; C o l u m n 2 5 & l t ; / s t r i n g & g t ; & l t ; / k e y & g t ; & l t ; v a l u e & g t ; & l t ; i n t & g t ; 1 3 6 & l t ; / i n t & g t ; & l t ; / v a l u e & g t ; & l t ; / i t e m & g t ; & l t ; i t e m & g t ; & l t ; k e y & g t ; & l t ; s t r i n g & g t ; A d d   C o l u m n 2 & l t ; / s t r i n g & g t ; & l t ; / k e y & g t ; & l t ; v a l u e & g t ; & l t ; i n t & g t ; 1 1 9 & l t ; / i n t & g t ; & l t ; / v a l u e & g t ; & l t ; / i t e m & g t ; & l t ; / C o l u m n W i d t h s & g t ; & l t ; C o l u m n D i s p l a y I n d e x & g t ; & l t ; i t e m & g t ; & l t ; k e y & g t ; & l t ; s t r i n g & g t ; C o l u m n 1 & l t ; / s t r i n g & g t ; & l t ; / k e y & g t ; & l t ; v a l u e & g t ; & l t ; i n t & g t ; 0 & l t ; / i n t & g t ; & l t ; / v a l u e & g t ; & l t ; / i t e m & g t ; & l t ; i t e m & g t ; & l t ; k e y & g t ; & l t ; s t r i n g & g t ; C o l u m n 2 & l t ; / s t r i n g & g t ; & l t ; / k e y & g t ; & l t ; v a l u e & g t ; & l t ; i n t & g t ; 1 & l t ; / i n t & g t ; & l t ; / v a l u e & g t ; & l t ; / i t e m & g t ; & l t ; i t e m & g t ; & l t ; k e y & g t ; & l t ; s t r i n g & g t ; C o l u m n 3 & l t ; / s t r i n g & g t ; & l t ; / k e y & g t ; & l t ; v a l u e & g t ; & l t ; i n t & g t ; 2 & l t ; / i n t & g t ; & l t ; / v a l u e & g t ; & l t ; / i t e m & g t ; & l t ; i t e m & g t ; & l t ; k e y & g t ; & l t ; s t r i n g & g t ; C o l u m n 4 & l t ; / s t r i n g & g t ; & l t ; / k e y & g t ; & l t ; v a l u e & g t ; & l t ; i n t & g t ; 3 & l t ; / i n t & g t ; & l t ; / v a l u e & g t ; & l t ; / i t e m & g t ; & l t ; i t e m & g t ; & l t ; k e y & g t ; & l t ; s t r i n g & g t ; C o l u m n 5 & l t ; / s t r i n g & g t ; & l t ; / k e y & g t ; & l t ; v a l u e & g t ; & l t ; i n t & g t ; 4 & l t ; / i n t & g t ; & l t ; / v a l u e & g t ; & l t ; / i t e m & g t ; & l t ; i t e m & g t ; & l t ; k e y & g t ; & l t ; s t r i n g & g t ; C o l u m n 6 & l t ; / s t r i n g & g t ; & l t ; / k e y & g t ; & l t ; v a l u e & g t ; & l t ; i n t & g t ; 5 & l t ; / i n t & g t ; & l t ; / v a l u e & g t ; & l t ; / i t e m & g t ; & l t ; i t e m & g t ; & l t ; k e y & g t ; & l t ; s t r i n g & g t ; C o l u m n 7 & l t ; / s t r i n g & g t ; & l t ; / k e y & g t ; & l t ; v a l u e & g t ; & l t ; i n t & g t ; 6 & l t ; / i n t & g t ; & l t ; / v a l u e & g t ; & l t ; / i t e m & g t ; & l t ; i t e m & g t ; & l t ; k e y & g t ; & l t ; s t r i n g & g t ; C o l u m n 8 & l t ; / s t r i n g & g t ; & l t ; / k e y & g t ; & l t ; v a l u e & g t ; & l t ; i n t & g t ; 7 & l t ; / i n t & g t ; & l t ; / v a l u e & g t ; & l t ; / i t e m & g t ; & l t ; i t e m & g t ; & l t ; k e y & g t ; & l t ; s t r i n g & g t ; C o l u m n 9 & l t ; / s t r i n g & g t ; & l t ; / k e y & g t ; & l t ; v a l u e & g t ; & l t ; i n t & g t ; 8 & l t ; / i n t & g t ; & l t ; / v a l u e & g t ; & l t ; / i t e m & g t ; & l t ; i t e m & g t ; & l t ; k e y & g t ; & l t ; s t r i n g & g t ; C o l u m n 1 0 & l t ; / s t r i n g & g t ; & l t ; / k e y & g t ; & l t ; v a l u e & g t ; & l t ; i n t & g t ; 9 & l t ; / i n t & g t ; & l t ; / v a l u e & g t ; & l t ; / i t e m & g t ; & l t ; i t e m & g t ; & l t ; k e y & g t ; & l t ; s t r i n g & g t ; C o l u m n 1 1 & l t ; / s t r i n g & g t ; & l t ; / k e y & g t ; & l t ; v a l u e & g t ; & l t ; i n t & g t ; 1 0 & l t ; / i n t & g t ; & l t ; / v a l u e & g t ; & l t ; / i t e m & g t ; & l t ; i t e m & g t ; & l t ; k e y & g t ; & l t ; s t r i n g & g t ; C o l u m n 1 2 & l t ; / s t r i n g & g t ; & l t ; / k e y & g t ; & l t ; v a l u e & g t ; & l t ; i n t & g t ; 1 1 & l t ; / i n t & g t ; & l t ; / v a l u e & g t ; & l t ; / i t e m & g t ; & l t ; i t e m & g t ; & l t ; k e y & g t ; & l t ; s t r i n g & g t ; C o l u m n 1 3 & l t ; / s t r i n g & g t ; & l t ; / k e y & g t ; & l t ; v a l u e & g t ; & l t ; i n t & g t ; 1 2 & l t ; / i n t & g t ; & l t ; / v a l u e & g t ; & l t ; / i t e m & g t ; & l t ; i t e m & g t ; & l t ; k e y & g t ; & l t ; s t r i n g & g t ; C o l u m n 1 4 & l t ; / s t r i n g & g t ; & l t ; / k e y & g t ; & l t ; v a l u e & g t ; & l t ; i n t & g t ; 1 3 & l t ; / i n t & g t ; & l t ; / v a l u e & g t ; & l t ; / i t e m & g t ; & l t ; i t e m & g t ; & l t ; k e y & g t ; & l t ; s t r i n g & g t ; C o l u m n 1 5 & l t ; / s t r i n g & g t ; & l t ; / k e y & g t ; & l t ; v a l u e & g t ; & l t ; i n t & g t ; 1 4 & l t ; / i n t & g t ; & l t ; / v a l u e & g t ; & l t ; / i t e m & g t ; & l t ; i t e m & g t ; & l t ; k e y & g t ; & l t ; s t r i n g & g t ; C o l u m n 1 6 & l t ; / s t r i n g & g t ; & l t ; / k e y & g t ; & l t ; v a l u e & g t ; & l t ; i n t & g t ; 1 5 & l t ; / i n t & g t ; & l t ; / v a l u e & g t ; & l t ; / i t e m & g t ; & l t ; i t e m & g t ; & l t ; k e y & g t ; & l t ; s t r i n g & g t ; C o l u m n 1 7 & l t ; / s t r i n g & g t ; & l t ; / k e y & g t ; & l t ; v a l u e & g t ; & l t ; i n t & g t ; 1 6 & l t ; / i n t & g t ; & l t ; / v a l u e & g t ; & l t ; / i t e m & g t ; & l t ; i t e m & g t ; & l t ; k e y & g t ; & l t ; s t r i n g & g t ; C o l u m n 1 8 & l t ; / s t r i n g & g t ; & l t ; / k e y & g t ; & l t ; v a l u e & g t ; & l t ; i n t & g t ; 1 7 & l t ; / i n t & g t ; & l t ; / v a l u e & g t ; & l t ; / i t e m & g t ; & l t ; i t e m & g t ; & l t ; k e y & g t ; & l t ; s t r i n g & g t ; C o l u m n 2 5 & l t ; / s t r i n g & g t ; & l t ; / k e y & g t ; & l t ; v a l u e & g t ; & l t ; i n t & g t ; 1 8 & l t ; / i n t & g t ; & l t ; / v a l u e & g t ; & l t ; / i t e m & g t ; & l t ; i t e m & g t ; & l t ; k e y & g t ; & l t ; s t r i n g & g t ; A d d   C o l u m n 2 & l t ; / s t r i n g & g t ; & l t ; / k e y & g t ; & l t ; v a l u e & g t ; & l t ; i n t & g t ; 1 9 & l t ; / i n t & g t ; & l t ; / v a l u e & g t ; & l t ; / i t e m & g t ; & l t ; / C o l u m n D i s p l a y I n d e x & g t ; & l t ; C o l u m n F r o z e n   / & g t ; & l t ; C o l u m n C h e c k e d   / & g t ; & l t ; C o l u m n F i l t e r   / & g t ; & l t ; S e l e c t i o n F i l t e r   / & g t ; & l t ; F i l t e r P a r a m e t e r s   / & g t ; & l t ; I s S o r t D e s c e n d i n g & g t ; f a l s e & l t ; / I s S o r t D e s c e n d i n g & g t ; & l t ; / T a b l e W i d g e t G r i d S e r i a l i z a t i o n & g t ; < / C u s t o m C o n t e n t > < / G e m i n i > 
</file>

<file path=customXml/itemProps1.xml><?xml version="1.0" encoding="utf-8"?>
<ds:datastoreItem xmlns:ds="http://schemas.openxmlformats.org/officeDocument/2006/customXml" ds:itemID="{B2E70906-DA20-4668-BD41-F628989743D5}"/>
</file>

<file path=customXml/itemProps2.xml><?xml version="1.0" encoding="utf-8"?>
<ds:datastoreItem xmlns:ds="http://schemas.openxmlformats.org/officeDocument/2006/customXml" ds:itemID="{E9320E59-5627-4BDC-BA61-A43AF67D29D1}"/>
</file>

<file path=customXml/itemProps3.xml><?xml version="1.0" encoding="utf-8"?>
<ds:datastoreItem xmlns:ds="http://schemas.openxmlformats.org/officeDocument/2006/customXml" ds:itemID="{5A821DF6-DCED-422D-A442-A04EB3902BB3}"/>
</file>

<file path=customXml/itemProps4.xml><?xml version="1.0" encoding="utf-8"?>
<ds:datastoreItem xmlns:ds="http://schemas.openxmlformats.org/officeDocument/2006/customXml" ds:itemID="{F6721AE6-E2F8-438F-9FC5-C1F4FBABF8DE}"/>
</file>

<file path=customXml/itemProps5.xml><?xml version="1.0" encoding="utf-8"?>
<ds:datastoreItem xmlns:ds="http://schemas.openxmlformats.org/officeDocument/2006/customXml" ds:itemID="{1554491F-3BFF-4ED7-862A-0A7D03F1AAE6}"/>
</file>

<file path=customXml/itemProps6.xml><?xml version="1.0" encoding="utf-8"?>
<ds:datastoreItem xmlns:ds="http://schemas.openxmlformats.org/officeDocument/2006/customXml" ds:itemID="{99C64EA6-64AB-43FD-B8B2-F766C9A9B7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Full Assessment Toolkit</dc:title>
  <dc:subject/>
  <dc:creator>jcallahan@calstate.edu;cescue@iiu.edu</dc:creator>
  <cp:keywords/>
  <dc:description/>
  <cp:lastModifiedBy>Laura J Francabandera</cp:lastModifiedBy>
  <cp:revision/>
  <dcterms:created xsi:type="dcterms:W3CDTF">2015-03-06T14:56:12Z</dcterms:created>
  <dcterms:modified xsi:type="dcterms:W3CDTF">2025-09-22T21:54:39Z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2023-02-06T20:03:37Z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e2d8a5e3-c013-4893-8c18-257934533dca</vt:lpwstr>
  </property>
  <property fmtid="{D5CDD505-2E9C-101B-9397-08002B2CF9AE}" pid="8" name="MSIP_Label_414b3c7e-3bfa-45f1-b28d-09d7fca8a9b7_ContentBits">
    <vt:lpwstr>0</vt:lpwstr>
  </property>
</Properties>
</file>